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kachra\Downloads\"/>
    </mc:Choice>
  </mc:AlternateContent>
  <xr:revisionPtr revIDLastSave="0" documentId="13_ncr:1_{C2604C81-0926-471B-869B-AE279BF082F6}" xr6:coauthVersionLast="47" xr6:coauthVersionMax="47" xr10:uidLastSave="{00000000-0000-0000-0000-000000000000}"/>
  <bookViews>
    <workbookView xWindow="-120" yWindow="-120" windowWidth="29040" windowHeight="15720" xr2:uid="{CD4AC9C5-F994-4ADE-A2C0-B7CA602F40D5}"/>
  </bookViews>
  <sheets>
    <sheet name="Sheet1" sheetId="3" r:id="rId1"/>
    <sheet name="Portfolio" sheetId="1" r:id="rId2"/>
    <sheet name="Base Data" sheetId="2" state="hidden" r:id="rId3"/>
  </sheets>
  <externalReferences>
    <externalReference r:id="rId4"/>
  </externalReferences>
  <definedNames>
    <definedName name="_xlnm._FilterDatabase" localSheetId="2" hidden="1">'Base Data'!$A$3:$AF$4</definedName>
    <definedName name="_xlnm._FilterDatabase" localSheetId="1" hidden="1">Portfolio!$B$1:$T$37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2" i="1" l="1"/>
  <c r="C72" i="1"/>
  <c r="B72" i="1"/>
  <c r="J67" i="1" l="1"/>
  <c r="F53" i="1"/>
  <c r="F54" i="1"/>
  <c r="F55" i="1"/>
  <c r="F56" i="1"/>
  <c r="F57" i="1"/>
  <c r="F58" i="1"/>
  <c r="F85" i="1"/>
  <c r="F86" i="1"/>
  <c r="F87" i="1"/>
  <c r="F88" i="1"/>
  <c r="F59" i="1"/>
  <c r="F60" i="1"/>
  <c r="F61" i="1"/>
  <c r="F84" i="1"/>
  <c r="F62" i="1"/>
  <c r="F63" i="1"/>
  <c r="F64" i="1"/>
  <c r="F65" i="1"/>
  <c r="F66" i="1"/>
  <c r="F52" i="1"/>
  <c r="E53" i="1"/>
  <c r="E54" i="1"/>
  <c r="E55" i="1"/>
  <c r="E56" i="1"/>
  <c r="E57" i="1"/>
  <c r="E58" i="1"/>
  <c r="E85" i="1"/>
  <c r="E86" i="1"/>
  <c r="E87" i="1"/>
  <c r="E88" i="1"/>
  <c r="E59" i="1"/>
  <c r="E60" i="1"/>
  <c r="E61" i="1"/>
  <c r="E84" i="1"/>
  <c r="E62" i="1"/>
  <c r="E63" i="1"/>
  <c r="E64" i="1"/>
  <c r="E65" i="1"/>
  <c r="E66" i="1"/>
  <c r="E52" i="1"/>
  <c r="I52" i="1"/>
  <c r="D67" i="1"/>
  <c r="N53" i="1" s="1"/>
  <c r="I74" i="1"/>
  <c r="J74" i="1" s="1"/>
  <c r="I75" i="1"/>
  <c r="J75" i="1" s="1"/>
  <c r="I76" i="1"/>
  <c r="J76" i="1" s="1"/>
  <c r="I77" i="1"/>
  <c r="J77" i="1" s="1"/>
  <c r="I78" i="1"/>
  <c r="J78" i="1" s="1"/>
  <c r="I79" i="1"/>
  <c r="J79" i="1" s="1"/>
  <c r="I80" i="1"/>
  <c r="J80" i="1" s="1"/>
  <c r="I53" i="1"/>
  <c r="I54" i="1"/>
  <c r="I55" i="1"/>
  <c r="I56" i="1"/>
  <c r="I57" i="1"/>
  <c r="I58" i="1"/>
  <c r="F74" i="1"/>
  <c r="G74" i="1" s="1"/>
  <c r="F75" i="1"/>
  <c r="G75" i="1" s="1"/>
  <c r="F76" i="1"/>
  <c r="G76" i="1" s="1"/>
  <c r="F77" i="1"/>
  <c r="G77" i="1" s="1"/>
  <c r="F78" i="1"/>
  <c r="G78" i="1" s="1"/>
  <c r="F79" i="1"/>
  <c r="G79" i="1" s="1"/>
  <c r="F80" i="1"/>
  <c r="G80" i="1" s="1"/>
  <c r="H85" i="1"/>
  <c r="I85" i="1" s="1"/>
  <c r="H86" i="1"/>
  <c r="I86" i="1" s="1"/>
  <c r="K86" i="1" s="1"/>
  <c r="L86" i="1" s="1"/>
  <c r="M86" i="1" s="1"/>
  <c r="H87" i="1"/>
  <c r="I87" i="1" s="1"/>
  <c r="H88" i="1"/>
  <c r="I88" i="1" s="1"/>
  <c r="I59" i="1"/>
  <c r="I60" i="1"/>
  <c r="K60" i="1" s="1"/>
  <c r="L60" i="1" s="1"/>
  <c r="M60" i="1" s="1"/>
  <c r="I61" i="1"/>
  <c r="K61" i="1" s="1"/>
  <c r="L61" i="1" s="1"/>
  <c r="M61" i="1" s="1"/>
  <c r="H84" i="1"/>
  <c r="I84" i="1" s="1"/>
  <c r="I62" i="1"/>
  <c r="I63" i="1"/>
  <c r="K63" i="1" s="1"/>
  <c r="L63" i="1" s="1"/>
  <c r="M63" i="1" s="1"/>
  <c r="I64" i="1"/>
  <c r="I65" i="1"/>
  <c r="I66" i="1"/>
  <c r="L9" i="1"/>
  <c r="L12" i="1"/>
  <c r="L8" i="1"/>
  <c r="L22" i="1"/>
  <c r="L27" i="1"/>
  <c r="L10" i="1"/>
  <c r="L36" i="1"/>
  <c r="L11" i="1"/>
  <c r="L6" i="1"/>
  <c r="L37" i="1"/>
  <c r="L30" i="1"/>
  <c r="L7" i="1"/>
  <c r="L34" i="1"/>
  <c r="L2" i="1"/>
  <c r="L26" i="1"/>
  <c r="L33" i="1"/>
  <c r="L4" i="1"/>
  <c r="L23" i="1"/>
  <c r="L18" i="1"/>
  <c r="L31" i="1"/>
  <c r="L3" i="1"/>
  <c r="L5" i="1"/>
  <c r="L25" i="1"/>
  <c r="L16" i="1"/>
  <c r="L21" i="1"/>
  <c r="L32" i="1"/>
  <c r="L19" i="1"/>
  <c r="L15" i="1"/>
  <c r="L24" i="1"/>
  <c r="L17" i="1"/>
  <c r="L29" i="1"/>
  <c r="L20" i="1"/>
  <c r="L14" i="1"/>
  <c r="L28" i="1"/>
  <c r="L13" i="1"/>
  <c r="O9" i="1" a="1"/>
  <c r="O9" i="1" s="1"/>
  <c r="O12" i="1" a="1"/>
  <c r="O12" i="1" s="1"/>
  <c r="O8" i="1" a="1"/>
  <c r="O8" i="1" s="1"/>
  <c r="O22" i="1" a="1"/>
  <c r="O22" i="1" s="1"/>
  <c r="Q22" i="1" s="1"/>
  <c r="O27" i="1" a="1"/>
  <c r="O27" i="1" s="1"/>
  <c r="O10" i="1" a="1"/>
  <c r="O10" i="1" s="1"/>
  <c r="O36" i="1" a="1"/>
  <c r="O36" i="1" s="1"/>
  <c r="O11" i="1" a="1"/>
  <c r="O11" i="1" s="1"/>
  <c r="O6" i="1" a="1"/>
  <c r="O6" i="1" s="1"/>
  <c r="O37" i="1" a="1"/>
  <c r="O37" i="1" s="1"/>
  <c r="O30" i="1" a="1"/>
  <c r="O30" i="1" s="1"/>
  <c r="O7" i="1" a="1"/>
  <c r="O7" i="1" s="1"/>
  <c r="O34" i="1" a="1"/>
  <c r="O34" i="1" s="1"/>
  <c r="Q34" i="1" s="1"/>
  <c r="O2" i="1" a="1"/>
  <c r="O2" i="1" s="1"/>
  <c r="Q2" i="1" s="1"/>
  <c r="O26" i="1" a="1"/>
  <c r="O26" i="1" s="1"/>
  <c r="Q26" i="1" s="1"/>
  <c r="O33" i="1" a="1"/>
  <c r="O33" i="1" s="1"/>
  <c r="Q33" i="1" s="1"/>
  <c r="O4" i="1" a="1"/>
  <c r="O4" i="1" s="1"/>
  <c r="O23" i="1" a="1"/>
  <c r="O23" i="1" s="1"/>
  <c r="O18" i="1" a="1"/>
  <c r="O18" i="1" s="1"/>
  <c r="O31" i="1" a="1"/>
  <c r="O31" i="1" s="1"/>
  <c r="O3" i="1" a="1"/>
  <c r="O3" i="1" s="1"/>
  <c r="Q3" i="1" s="1"/>
  <c r="O5" i="1" a="1"/>
  <c r="O5" i="1" s="1"/>
  <c r="O25" i="1" a="1"/>
  <c r="O25" i="1" s="1"/>
  <c r="Q25" i="1" s="1"/>
  <c r="O16" i="1" a="1"/>
  <c r="O16" i="1" s="1"/>
  <c r="O21" i="1" a="1"/>
  <c r="O21" i="1" s="1"/>
  <c r="O32" i="1" a="1"/>
  <c r="O32" i="1" s="1"/>
  <c r="O19" i="1" a="1"/>
  <c r="O19" i="1" s="1"/>
  <c r="O15" i="1" a="1"/>
  <c r="O15" i="1" s="1"/>
  <c r="O24" i="1" a="1"/>
  <c r="O24" i="1" s="1"/>
  <c r="O17" i="1" a="1"/>
  <c r="O17" i="1" s="1"/>
  <c r="O29" i="1" a="1"/>
  <c r="O29" i="1" s="1"/>
  <c r="O20" i="1" a="1"/>
  <c r="O20" i="1" s="1"/>
  <c r="Q20" i="1" s="1"/>
  <c r="O14" i="1" a="1"/>
  <c r="O14" i="1" s="1"/>
  <c r="O28" i="1" a="1"/>
  <c r="O28" i="1" s="1"/>
  <c r="O13" i="1" a="1"/>
  <c r="O13" i="1" s="1"/>
  <c r="O35" i="1" a="1"/>
  <c r="O35" i="1" s="1"/>
  <c r="Q35" i="1" s="1"/>
  <c r="N9" i="1"/>
  <c r="N12" i="1"/>
  <c r="N8" i="1"/>
  <c r="N22" i="1"/>
  <c r="N27" i="1"/>
  <c r="N10" i="1"/>
  <c r="N36" i="1"/>
  <c r="N11" i="1"/>
  <c r="N6" i="1"/>
  <c r="N37" i="1"/>
  <c r="N30" i="1"/>
  <c r="N7" i="1"/>
  <c r="N34" i="1"/>
  <c r="N2" i="1"/>
  <c r="N26" i="1"/>
  <c r="N33" i="1"/>
  <c r="N4" i="1"/>
  <c r="N23" i="1"/>
  <c r="N18" i="1"/>
  <c r="N31" i="1"/>
  <c r="N3" i="1"/>
  <c r="N5" i="1"/>
  <c r="N25" i="1"/>
  <c r="N16" i="1"/>
  <c r="N21" i="1"/>
  <c r="N32" i="1"/>
  <c r="N19" i="1"/>
  <c r="N15" i="1"/>
  <c r="N24" i="1"/>
  <c r="N17" i="1"/>
  <c r="N29" i="1"/>
  <c r="N20" i="1"/>
  <c r="N14" i="1"/>
  <c r="N28" i="1"/>
  <c r="N13" i="1"/>
  <c r="N35" i="1"/>
  <c r="Z809" i="2"/>
  <c r="AA809" i="2" s="1"/>
  <c r="AA808" i="2"/>
  <c r="Z808" i="2"/>
  <c r="Z807" i="2"/>
  <c r="AA807" i="2" s="1"/>
  <c r="Z806" i="2"/>
  <c r="AA806" i="2" s="1"/>
  <c r="Z805" i="2"/>
  <c r="AA805" i="2" s="1"/>
  <c r="AA804" i="2"/>
  <c r="Z804" i="2"/>
  <c r="Z803" i="2"/>
  <c r="AA803" i="2" s="1"/>
  <c r="Z802" i="2"/>
  <c r="AA802" i="2" s="1"/>
  <c r="Z801" i="2"/>
  <c r="AA801" i="2" s="1"/>
  <c r="AA800" i="2"/>
  <c r="Z800" i="2"/>
  <c r="Z799" i="2"/>
  <c r="AA799" i="2" s="1"/>
  <c r="Z798" i="2"/>
  <c r="AA798" i="2" s="1"/>
  <c r="Z797" i="2"/>
  <c r="AA797" i="2" s="1"/>
  <c r="AA796" i="2"/>
  <c r="Z796" i="2"/>
  <c r="Z795" i="2"/>
  <c r="AA795" i="2" s="1"/>
  <c r="Z794" i="2"/>
  <c r="AA794" i="2" s="1"/>
  <c r="Z793" i="2"/>
  <c r="AA793" i="2" s="1"/>
  <c r="AA792" i="2"/>
  <c r="Z792" i="2"/>
  <c r="Z791" i="2"/>
  <c r="AA791" i="2" s="1"/>
  <c r="Z790" i="2"/>
  <c r="AA790" i="2" s="1"/>
  <c r="Z789" i="2"/>
  <c r="AA789" i="2" s="1"/>
  <c r="AA788" i="2"/>
  <c r="Z788" i="2"/>
  <c r="Z787" i="2"/>
  <c r="AA787" i="2" s="1"/>
  <c r="Z786" i="2"/>
  <c r="AA786" i="2" s="1"/>
  <c r="Z785" i="2"/>
  <c r="AA785" i="2" s="1"/>
  <c r="AA784" i="2"/>
  <c r="Z784" i="2"/>
  <c r="Z783" i="2"/>
  <c r="AA783" i="2" s="1"/>
  <c r="Z782" i="2"/>
  <c r="AA782" i="2" s="1"/>
  <c r="AA781" i="2"/>
  <c r="Z781" i="2"/>
  <c r="AA780" i="2"/>
  <c r="Z780" i="2"/>
  <c r="Z779" i="2"/>
  <c r="AA779" i="2" s="1"/>
  <c r="Z778" i="2"/>
  <c r="AA778" i="2" s="1"/>
  <c r="AA777" i="2"/>
  <c r="Z777" i="2"/>
  <c r="AA776" i="2"/>
  <c r="Z776" i="2"/>
  <c r="Z775" i="2"/>
  <c r="AA775" i="2" s="1"/>
  <c r="Z774" i="2"/>
  <c r="AA774" i="2" s="1"/>
  <c r="AA773" i="2"/>
  <c r="Z773" i="2"/>
  <c r="S772" i="2" a="1"/>
  <c r="S772" i="2" s="1"/>
  <c r="U772" i="2" s="1"/>
  <c r="R772" i="2"/>
  <c r="T772" i="2" s="1"/>
  <c r="V772" i="2" s="1"/>
  <c r="W772" i="2" s="1"/>
  <c r="O772" i="2"/>
  <c r="S771" i="2" a="1"/>
  <c r="S771" i="2" s="1"/>
  <c r="R771" i="2"/>
  <c r="O771" i="2"/>
  <c r="S770" i="2" a="1"/>
  <c r="S770" i="2" s="1"/>
  <c r="R770" i="2"/>
  <c r="O770" i="2"/>
  <c r="S769" i="2" a="1"/>
  <c r="S769" i="2" s="1"/>
  <c r="R769" i="2"/>
  <c r="O769" i="2"/>
  <c r="S768" i="2" a="1"/>
  <c r="S768" i="2" s="1"/>
  <c r="U768" i="2" s="1"/>
  <c r="R768" i="2"/>
  <c r="O768" i="2"/>
  <c r="S767" i="2" a="1"/>
  <c r="S767" i="2" s="1"/>
  <c r="R767" i="2"/>
  <c r="O767" i="2"/>
  <c r="S766" i="2" a="1"/>
  <c r="S766" i="2" s="1"/>
  <c r="R766" i="2"/>
  <c r="O766" i="2"/>
  <c r="S765" i="2" a="1"/>
  <c r="S765" i="2" s="1"/>
  <c r="R765" i="2"/>
  <c r="O765" i="2"/>
  <c r="S764" i="2" a="1"/>
  <c r="S764" i="2" s="1"/>
  <c r="U764" i="2" s="1"/>
  <c r="R764" i="2"/>
  <c r="O764" i="2"/>
  <c r="S763" i="2" a="1"/>
  <c r="S763" i="2" s="1"/>
  <c r="R763" i="2"/>
  <c r="O763" i="2"/>
  <c r="S762" i="2" a="1"/>
  <c r="S762" i="2" s="1"/>
  <c r="U762" i="2" s="1"/>
  <c r="R762" i="2"/>
  <c r="O762" i="2"/>
  <c r="S761" i="2" a="1"/>
  <c r="S761" i="2" s="1"/>
  <c r="R761" i="2"/>
  <c r="O761" i="2"/>
  <c r="S760" i="2" a="1"/>
  <c r="S760" i="2" s="1"/>
  <c r="U760" i="2" s="1"/>
  <c r="R760" i="2"/>
  <c r="O760" i="2"/>
  <c r="S759" i="2" a="1"/>
  <c r="S759" i="2" s="1"/>
  <c r="R759" i="2"/>
  <c r="O759" i="2"/>
  <c r="S758" i="2" a="1"/>
  <c r="S758" i="2" s="1"/>
  <c r="R758" i="2"/>
  <c r="O758" i="2"/>
  <c r="S757" i="2" a="1"/>
  <c r="S757" i="2" s="1"/>
  <c r="R757" i="2"/>
  <c r="O757" i="2"/>
  <c r="S756" i="2" a="1"/>
  <c r="S756" i="2" s="1"/>
  <c r="U756" i="2" s="1"/>
  <c r="R756" i="2"/>
  <c r="O756" i="2"/>
  <c r="S755" i="2" a="1"/>
  <c r="S755" i="2" s="1"/>
  <c r="R755" i="2"/>
  <c r="O755" i="2"/>
  <c r="S754" i="2" a="1"/>
  <c r="S754" i="2" s="1"/>
  <c r="T754" i="2" s="1"/>
  <c r="R754" i="2"/>
  <c r="O754" i="2"/>
  <c r="S753" i="2" a="1"/>
  <c r="S753" i="2" s="1"/>
  <c r="R753" i="2"/>
  <c r="O753" i="2"/>
  <c r="S752" i="2" a="1"/>
  <c r="S752" i="2" s="1"/>
  <c r="U752" i="2" s="1"/>
  <c r="R752" i="2"/>
  <c r="O752" i="2"/>
  <c r="S751" i="2" a="1"/>
  <c r="S751" i="2" s="1"/>
  <c r="U751" i="2" s="1"/>
  <c r="R751" i="2"/>
  <c r="O751" i="2"/>
  <c r="S750" i="2" a="1"/>
  <c r="S750" i="2" s="1"/>
  <c r="R750" i="2"/>
  <c r="O750" i="2"/>
  <c r="T749" i="2"/>
  <c r="S749" i="2" a="1"/>
  <c r="S749" i="2" s="1"/>
  <c r="U749" i="2" s="1"/>
  <c r="R749" i="2"/>
  <c r="O749" i="2"/>
  <c r="S748" i="2" a="1"/>
  <c r="S748" i="2" s="1"/>
  <c r="U748" i="2" s="1"/>
  <c r="R748" i="2"/>
  <c r="O748" i="2"/>
  <c r="S747" i="2" a="1"/>
  <c r="S747" i="2" s="1"/>
  <c r="U747" i="2" s="1"/>
  <c r="R747" i="2"/>
  <c r="O747" i="2"/>
  <c r="S746" i="2" a="1"/>
  <c r="S746" i="2" s="1"/>
  <c r="R746" i="2"/>
  <c r="O746" i="2"/>
  <c r="S745" i="2" a="1"/>
  <c r="S745" i="2" s="1"/>
  <c r="U745" i="2" s="1"/>
  <c r="R745" i="2"/>
  <c r="O745" i="2"/>
  <c r="S744" i="2" a="1"/>
  <c r="S744" i="2" s="1"/>
  <c r="U744" i="2" s="1"/>
  <c r="R744" i="2"/>
  <c r="O744" i="2"/>
  <c r="S743" i="2" a="1"/>
  <c r="S743" i="2" s="1"/>
  <c r="U743" i="2" s="1"/>
  <c r="R743" i="2"/>
  <c r="O743" i="2"/>
  <c r="S742" i="2" a="1"/>
  <c r="S742" i="2" s="1"/>
  <c r="R742" i="2"/>
  <c r="O742" i="2"/>
  <c r="S741" i="2" a="1"/>
  <c r="S741" i="2" s="1"/>
  <c r="U741" i="2" s="1"/>
  <c r="R741" i="2"/>
  <c r="O741" i="2"/>
  <c r="S740" i="2" a="1"/>
  <c r="S740" i="2" s="1"/>
  <c r="U740" i="2" s="1"/>
  <c r="R740" i="2"/>
  <c r="T740" i="2" s="1"/>
  <c r="V740" i="2" s="1"/>
  <c r="W740" i="2" s="1"/>
  <c r="O740" i="2"/>
  <c r="S739" i="2" a="1"/>
  <c r="S739" i="2" s="1"/>
  <c r="U739" i="2" s="1"/>
  <c r="R739" i="2"/>
  <c r="O739" i="2"/>
  <c r="S738" i="2" a="1"/>
  <c r="S738" i="2" s="1"/>
  <c r="R738" i="2"/>
  <c r="O738" i="2"/>
  <c r="S737" i="2" a="1"/>
  <c r="S737" i="2" s="1"/>
  <c r="U737" i="2" s="1"/>
  <c r="R737" i="2"/>
  <c r="O737" i="2"/>
  <c r="S736" i="2" a="1"/>
  <c r="S736" i="2" s="1"/>
  <c r="U736" i="2" s="1"/>
  <c r="R736" i="2"/>
  <c r="O736" i="2"/>
  <c r="S735" i="2" a="1"/>
  <c r="S735" i="2" s="1"/>
  <c r="U735" i="2" s="1"/>
  <c r="R735" i="2"/>
  <c r="T735" i="2" s="1"/>
  <c r="V735" i="2" s="1"/>
  <c r="W735" i="2" s="1"/>
  <c r="O735" i="2"/>
  <c r="S734" i="2" a="1"/>
  <c r="S734" i="2" s="1"/>
  <c r="R734" i="2"/>
  <c r="O734" i="2"/>
  <c r="S733" i="2" a="1"/>
  <c r="S733" i="2" s="1"/>
  <c r="U733" i="2" s="1"/>
  <c r="R733" i="2"/>
  <c r="O733" i="2"/>
  <c r="S732" i="2" a="1"/>
  <c r="S732" i="2" s="1"/>
  <c r="U732" i="2" s="1"/>
  <c r="R732" i="2"/>
  <c r="O732" i="2"/>
  <c r="S731" i="2" a="1"/>
  <c r="S731" i="2" s="1"/>
  <c r="U731" i="2" s="1"/>
  <c r="R731" i="2"/>
  <c r="O731" i="2"/>
  <c r="S730" i="2" a="1"/>
  <c r="S730" i="2" s="1"/>
  <c r="R730" i="2"/>
  <c r="O730" i="2"/>
  <c r="S729" i="2" a="1"/>
  <c r="S729" i="2" s="1"/>
  <c r="U729" i="2" s="1"/>
  <c r="R729" i="2"/>
  <c r="O729" i="2"/>
  <c r="S728" i="2" a="1"/>
  <c r="S728" i="2" s="1"/>
  <c r="U728" i="2" s="1"/>
  <c r="R728" i="2"/>
  <c r="O728" i="2"/>
  <c r="S727" i="2" a="1"/>
  <c r="S727" i="2" s="1"/>
  <c r="U727" i="2" s="1"/>
  <c r="R727" i="2"/>
  <c r="T727" i="2" s="1"/>
  <c r="V727" i="2" s="1"/>
  <c r="W727" i="2" s="1"/>
  <c r="O727" i="2"/>
  <c r="S726" i="2" a="1"/>
  <c r="S726" i="2" s="1"/>
  <c r="U726" i="2" s="1"/>
  <c r="R726" i="2"/>
  <c r="O726" i="2"/>
  <c r="S725" i="2" a="1"/>
  <c r="S725" i="2" s="1"/>
  <c r="U725" i="2" s="1"/>
  <c r="R725" i="2"/>
  <c r="T725" i="2" s="1"/>
  <c r="O725" i="2"/>
  <c r="S724" i="2" a="1"/>
  <c r="S724" i="2" s="1"/>
  <c r="U724" i="2" s="1"/>
  <c r="R724" i="2"/>
  <c r="O724" i="2"/>
  <c r="S723" i="2" a="1"/>
  <c r="S723" i="2" s="1"/>
  <c r="U723" i="2" s="1"/>
  <c r="R723" i="2"/>
  <c r="O723" i="2"/>
  <c r="S722" i="2" a="1"/>
  <c r="S722" i="2" s="1"/>
  <c r="U722" i="2" s="1"/>
  <c r="R722" i="2"/>
  <c r="O722" i="2"/>
  <c r="S721" i="2" a="1"/>
  <c r="S721" i="2" s="1"/>
  <c r="R721" i="2"/>
  <c r="O721" i="2"/>
  <c r="S720" i="2" a="1"/>
  <c r="S720" i="2" s="1"/>
  <c r="U720" i="2" s="1"/>
  <c r="R720" i="2"/>
  <c r="O720" i="2"/>
  <c r="S719" i="2" a="1"/>
  <c r="S719" i="2" s="1"/>
  <c r="U719" i="2" s="1"/>
  <c r="R719" i="2"/>
  <c r="T719" i="2" s="1"/>
  <c r="V719" i="2" s="1"/>
  <c r="W719" i="2" s="1"/>
  <c r="O719" i="2"/>
  <c r="S718" i="2" a="1"/>
  <c r="S718" i="2" s="1"/>
  <c r="U718" i="2" s="1"/>
  <c r="R718" i="2"/>
  <c r="O718" i="2"/>
  <c r="S717" i="2" a="1"/>
  <c r="S717" i="2" s="1"/>
  <c r="U717" i="2" s="1"/>
  <c r="R717" i="2"/>
  <c r="T717" i="2" s="1"/>
  <c r="V717" i="2" s="1"/>
  <c r="W717" i="2" s="1"/>
  <c r="O717" i="2"/>
  <c r="S716" i="2" a="1"/>
  <c r="S716" i="2" s="1"/>
  <c r="U716" i="2" s="1"/>
  <c r="R716" i="2"/>
  <c r="O716" i="2"/>
  <c r="S715" i="2" a="1"/>
  <c r="S715" i="2" s="1"/>
  <c r="U715" i="2" s="1"/>
  <c r="R715" i="2"/>
  <c r="T715" i="2" s="1"/>
  <c r="O715" i="2"/>
  <c r="S714" i="2" a="1"/>
  <c r="S714" i="2" s="1"/>
  <c r="R714" i="2"/>
  <c r="O714" i="2"/>
  <c r="S713" i="2" a="1"/>
  <c r="S713" i="2" s="1"/>
  <c r="U713" i="2" s="1"/>
  <c r="R713" i="2"/>
  <c r="O713" i="2"/>
  <c r="S712" i="2" a="1"/>
  <c r="S712" i="2" s="1"/>
  <c r="R712" i="2"/>
  <c r="O712" i="2"/>
  <c r="U711" i="2"/>
  <c r="S711" i="2" a="1"/>
  <c r="S711" i="2" s="1"/>
  <c r="R711" i="2"/>
  <c r="T711" i="2" s="1"/>
  <c r="O711" i="2"/>
  <c r="S710" i="2" a="1"/>
  <c r="S710" i="2" s="1"/>
  <c r="R710" i="2"/>
  <c r="O710" i="2"/>
  <c r="S709" i="2" a="1"/>
  <c r="S709" i="2" s="1"/>
  <c r="U709" i="2" s="1"/>
  <c r="R709" i="2"/>
  <c r="O709" i="2"/>
  <c r="S708" i="2" a="1"/>
  <c r="S708" i="2" s="1"/>
  <c r="R708" i="2"/>
  <c r="O708" i="2"/>
  <c r="S707" i="2" a="1"/>
  <c r="S707" i="2" s="1"/>
  <c r="U707" i="2" s="1"/>
  <c r="R707" i="2"/>
  <c r="O707" i="2"/>
  <c r="S706" i="2" a="1"/>
  <c r="S706" i="2" s="1"/>
  <c r="U706" i="2" s="1"/>
  <c r="R706" i="2"/>
  <c r="O706" i="2"/>
  <c r="S705" i="2" a="1"/>
  <c r="S705" i="2" s="1"/>
  <c r="U705" i="2" s="1"/>
  <c r="R705" i="2"/>
  <c r="O705" i="2"/>
  <c r="S704" i="2" a="1"/>
  <c r="S704" i="2" s="1"/>
  <c r="R704" i="2"/>
  <c r="O704" i="2"/>
  <c r="S703" i="2"/>
  <c r="U703" i="2" s="1"/>
  <c r="S703" i="2" a="1"/>
  <c r="R703" i="2"/>
  <c r="O703" i="2"/>
  <c r="S702" i="2" a="1"/>
  <c r="S702" i="2" s="1"/>
  <c r="R702" i="2"/>
  <c r="O702" i="2"/>
  <c r="S701" i="2" a="1"/>
  <c r="S701" i="2" s="1"/>
  <c r="U701" i="2" s="1"/>
  <c r="R701" i="2"/>
  <c r="O701" i="2"/>
  <c r="S700" i="2" a="1"/>
  <c r="S700" i="2" s="1"/>
  <c r="U700" i="2" s="1"/>
  <c r="R700" i="2"/>
  <c r="T700" i="2" s="1"/>
  <c r="O700" i="2"/>
  <c r="S699" i="2" a="1"/>
  <c r="S699" i="2" s="1"/>
  <c r="R699" i="2"/>
  <c r="O699" i="2"/>
  <c r="S698" i="2" a="1"/>
  <c r="S698" i="2" s="1"/>
  <c r="U698" i="2" s="1"/>
  <c r="R698" i="2"/>
  <c r="T698" i="2" s="1"/>
  <c r="O698" i="2"/>
  <c r="S697" i="2" a="1"/>
  <c r="S697" i="2" s="1"/>
  <c r="R697" i="2"/>
  <c r="O697" i="2"/>
  <c r="S696" i="2" a="1"/>
  <c r="S696" i="2" s="1"/>
  <c r="U696" i="2" s="1"/>
  <c r="R696" i="2"/>
  <c r="T696" i="2" s="1"/>
  <c r="O696" i="2"/>
  <c r="S695" i="2" a="1"/>
  <c r="S695" i="2" s="1"/>
  <c r="U695" i="2" s="1"/>
  <c r="R695" i="2"/>
  <c r="T695" i="2" s="1"/>
  <c r="O695" i="2"/>
  <c r="S694" i="2" a="1"/>
  <c r="S694" i="2" s="1"/>
  <c r="T694" i="2" s="1"/>
  <c r="R694" i="2"/>
  <c r="O694" i="2"/>
  <c r="S693" i="2" a="1"/>
  <c r="S693" i="2" s="1"/>
  <c r="U693" i="2" s="1"/>
  <c r="R693" i="2"/>
  <c r="O693" i="2"/>
  <c r="S692" i="2"/>
  <c r="S692" i="2" a="1"/>
  <c r="R692" i="2"/>
  <c r="O692" i="2"/>
  <c r="S691" i="2" a="1"/>
  <c r="S691" i="2" s="1"/>
  <c r="U691" i="2" s="1"/>
  <c r="R691" i="2"/>
  <c r="O691" i="2"/>
  <c r="S690" i="2" a="1"/>
  <c r="S690" i="2" s="1"/>
  <c r="U690" i="2" s="1"/>
  <c r="R690" i="2"/>
  <c r="O690" i="2"/>
  <c r="S689" i="2" a="1"/>
  <c r="S689" i="2" s="1"/>
  <c r="R689" i="2"/>
  <c r="O689" i="2"/>
  <c r="S688" i="2" a="1"/>
  <c r="S688" i="2" s="1"/>
  <c r="U688" i="2" s="1"/>
  <c r="R688" i="2"/>
  <c r="T688" i="2" s="1"/>
  <c r="V688" i="2" s="1"/>
  <c r="W688" i="2" s="1"/>
  <c r="O688" i="2"/>
  <c r="S687" i="2" a="1"/>
  <c r="S687" i="2" s="1"/>
  <c r="R687" i="2"/>
  <c r="O687" i="2"/>
  <c r="S686" i="2" a="1"/>
  <c r="S686" i="2" s="1"/>
  <c r="U686" i="2" s="1"/>
  <c r="R686" i="2"/>
  <c r="O686" i="2"/>
  <c r="S685" i="2" a="1"/>
  <c r="S685" i="2" s="1"/>
  <c r="R685" i="2"/>
  <c r="O685" i="2"/>
  <c r="U684" i="2"/>
  <c r="S684" i="2" a="1"/>
  <c r="S684" i="2" s="1"/>
  <c r="R684" i="2"/>
  <c r="O684" i="2"/>
  <c r="S683" i="2" a="1"/>
  <c r="S683" i="2" s="1"/>
  <c r="U683" i="2" s="1"/>
  <c r="R683" i="2"/>
  <c r="O683" i="2"/>
  <c r="S682" i="2" a="1"/>
  <c r="S682" i="2" s="1"/>
  <c r="U682" i="2" s="1"/>
  <c r="R682" i="2"/>
  <c r="O682" i="2"/>
  <c r="S681" i="2" a="1"/>
  <c r="S681" i="2" s="1"/>
  <c r="R681" i="2"/>
  <c r="O681" i="2"/>
  <c r="S680" i="2" a="1"/>
  <c r="S680" i="2" s="1"/>
  <c r="U680" i="2" s="1"/>
  <c r="R680" i="2"/>
  <c r="O680" i="2"/>
  <c r="S679" i="2" a="1"/>
  <c r="S679" i="2" s="1"/>
  <c r="U679" i="2" s="1"/>
  <c r="R679" i="2"/>
  <c r="O679" i="2"/>
  <c r="S678" i="2" a="1"/>
  <c r="S678" i="2" s="1"/>
  <c r="U678" i="2" s="1"/>
  <c r="R678" i="2"/>
  <c r="O678" i="2"/>
  <c r="S677" i="2" a="1"/>
  <c r="S677" i="2" s="1"/>
  <c r="R677" i="2"/>
  <c r="O677" i="2"/>
  <c r="S676" i="2" a="1"/>
  <c r="S676" i="2" s="1"/>
  <c r="R676" i="2"/>
  <c r="O676" i="2"/>
  <c r="S675" i="2" a="1"/>
  <c r="S675" i="2" s="1"/>
  <c r="U675" i="2" s="1"/>
  <c r="R675" i="2"/>
  <c r="O675" i="2"/>
  <c r="S674" i="2" a="1"/>
  <c r="S674" i="2" s="1"/>
  <c r="R674" i="2"/>
  <c r="O674" i="2"/>
  <c r="S673" i="2" a="1"/>
  <c r="S673" i="2" s="1"/>
  <c r="U673" i="2" s="1"/>
  <c r="R673" i="2"/>
  <c r="T673" i="2" s="1"/>
  <c r="V673" i="2" s="1"/>
  <c r="W673" i="2" s="1"/>
  <c r="Y673" i="2" s="1"/>
  <c r="Z673" i="2" s="1"/>
  <c r="O673" i="2"/>
  <c r="S672" i="2" a="1"/>
  <c r="S672" i="2" s="1"/>
  <c r="U672" i="2" s="1"/>
  <c r="R672" i="2"/>
  <c r="O672" i="2"/>
  <c r="S671" i="2" a="1"/>
  <c r="S671" i="2" s="1"/>
  <c r="U671" i="2" s="1"/>
  <c r="R671" i="2"/>
  <c r="O671" i="2"/>
  <c r="S670" i="2" a="1"/>
  <c r="S670" i="2" s="1"/>
  <c r="R670" i="2"/>
  <c r="O670" i="2"/>
  <c r="S669" i="2" a="1"/>
  <c r="S669" i="2" s="1"/>
  <c r="R669" i="2"/>
  <c r="O669" i="2"/>
  <c r="S668" i="2" a="1"/>
  <c r="S668" i="2" s="1"/>
  <c r="U668" i="2" s="1"/>
  <c r="R668" i="2"/>
  <c r="O668" i="2"/>
  <c r="U667" i="2"/>
  <c r="S667" i="2" a="1"/>
  <c r="S667" i="2" s="1"/>
  <c r="R667" i="2"/>
  <c r="O667" i="2"/>
  <c r="S666" i="2" a="1"/>
  <c r="S666" i="2" s="1"/>
  <c r="R666" i="2"/>
  <c r="O666" i="2"/>
  <c r="S665" i="2"/>
  <c r="U665" i="2" s="1"/>
  <c r="S665" i="2" a="1"/>
  <c r="R665" i="2"/>
  <c r="O665" i="2"/>
  <c r="S664" i="2" a="1"/>
  <c r="S664" i="2" s="1"/>
  <c r="U664" i="2" s="1"/>
  <c r="R664" i="2"/>
  <c r="O664" i="2"/>
  <c r="S663" i="2" a="1"/>
  <c r="S663" i="2" s="1"/>
  <c r="R663" i="2"/>
  <c r="O663" i="2"/>
  <c r="S662" i="2" a="1"/>
  <c r="S662" i="2" s="1"/>
  <c r="U662" i="2" s="1"/>
  <c r="R662" i="2"/>
  <c r="T662" i="2" s="1"/>
  <c r="O662" i="2"/>
  <c r="S661" i="2" a="1"/>
  <c r="S661" i="2" s="1"/>
  <c r="U661" i="2" s="1"/>
  <c r="R661" i="2"/>
  <c r="O661" i="2"/>
  <c r="S660" i="2"/>
  <c r="U660" i="2" s="1"/>
  <c r="S660" i="2" a="1"/>
  <c r="R660" i="2"/>
  <c r="O660" i="2"/>
  <c r="S659" i="2"/>
  <c r="S659" i="2" a="1"/>
  <c r="R659" i="2"/>
  <c r="O659" i="2"/>
  <c r="S658" i="2" a="1"/>
  <c r="S658" i="2" s="1"/>
  <c r="U658" i="2" s="1"/>
  <c r="R658" i="2"/>
  <c r="O658" i="2"/>
  <c r="S657" i="2" a="1"/>
  <c r="S657" i="2" s="1"/>
  <c r="R657" i="2"/>
  <c r="O657" i="2"/>
  <c r="S656" i="2" a="1"/>
  <c r="S656" i="2" s="1"/>
  <c r="U656" i="2" s="1"/>
  <c r="R656" i="2"/>
  <c r="O656" i="2"/>
  <c r="S655" i="2" a="1"/>
  <c r="S655" i="2" s="1"/>
  <c r="R655" i="2"/>
  <c r="O655" i="2"/>
  <c r="S654" i="2" a="1"/>
  <c r="S654" i="2" s="1"/>
  <c r="U654" i="2" s="1"/>
  <c r="R654" i="2"/>
  <c r="O654" i="2"/>
  <c r="S653" i="2" a="1"/>
  <c r="S653" i="2" s="1"/>
  <c r="U653" i="2" s="1"/>
  <c r="R653" i="2"/>
  <c r="O653" i="2"/>
  <c r="S652" i="2" a="1"/>
  <c r="S652" i="2" s="1"/>
  <c r="U652" i="2" s="1"/>
  <c r="R652" i="2"/>
  <c r="T652" i="2" s="1"/>
  <c r="V652" i="2" s="1"/>
  <c r="W652" i="2" s="1"/>
  <c r="O652" i="2"/>
  <c r="S651" i="2" a="1"/>
  <c r="S651" i="2" s="1"/>
  <c r="U651" i="2" s="1"/>
  <c r="R651" i="2"/>
  <c r="T651" i="2" s="1"/>
  <c r="V651" i="2" s="1"/>
  <c r="W651" i="2" s="1"/>
  <c r="O651" i="2"/>
  <c r="S650" i="2" a="1"/>
  <c r="S650" i="2" s="1"/>
  <c r="U650" i="2" s="1"/>
  <c r="R650" i="2"/>
  <c r="O650" i="2"/>
  <c r="S649" i="2" a="1"/>
  <c r="S649" i="2" s="1"/>
  <c r="U649" i="2" s="1"/>
  <c r="R649" i="2"/>
  <c r="O649" i="2"/>
  <c r="S648" i="2" a="1"/>
  <c r="S648" i="2" s="1"/>
  <c r="U648" i="2" s="1"/>
  <c r="R648" i="2"/>
  <c r="O648" i="2"/>
  <c r="S647" i="2" a="1"/>
  <c r="S647" i="2" s="1"/>
  <c r="U647" i="2" s="1"/>
  <c r="R647" i="2"/>
  <c r="O647" i="2"/>
  <c r="S646" i="2" a="1"/>
  <c r="S646" i="2" s="1"/>
  <c r="U646" i="2" s="1"/>
  <c r="R646" i="2"/>
  <c r="O646" i="2"/>
  <c r="S645" i="2" a="1"/>
  <c r="S645" i="2" s="1"/>
  <c r="U645" i="2" s="1"/>
  <c r="R645" i="2"/>
  <c r="O645" i="2"/>
  <c r="S644" i="2" a="1"/>
  <c r="S644" i="2" s="1"/>
  <c r="U644" i="2" s="1"/>
  <c r="R644" i="2"/>
  <c r="O644" i="2"/>
  <c r="S643" i="2" a="1"/>
  <c r="S643" i="2" s="1"/>
  <c r="R643" i="2"/>
  <c r="O643" i="2"/>
  <c r="S642" i="2" a="1"/>
  <c r="S642" i="2" s="1"/>
  <c r="R642" i="2"/>
  <c r="O642" i="2"/>
  <c r="S641" i="2" a="1"/>
  <c r="S641" i="2" s="1"/>
  <c r="U641" i="2" s="1"/>
  <c r="R641" i="2"/>
  <c r="O641" i="2"/>
  <c r="S640" i="2" a="1"/>
  <c r="S640" i="2" s="1"/>
  <c r="U640" i="2" s="1"/>
  <c r="R640" i="2"/>
  <c r="O640" i="2"/>
  <c r="S639" i="2" a="1"/>
  <c r="S639" i="2" s="1"/>
  <c r="U639" i="2" s="1"/>
  <c r="R639" i="2"/>
  <c r="O639" i="2"/>
  <c r="S638" i="2" a="1"/>
  <c r="S638" i="2" s="1"/>
  <c r="U638" i="2" s="1"/>
  <c r="R638" i="2"/>
  <c r="T638" i="2" s="1"/>
  <c r="V638" i="2" s="1"/>
  <c r="W638" i="2" s="1"/>
  <c r="O638" i="2"/>
  <c r="S637" i="2" a="1"/>
  <c r="S637" i="2" s="1"/>
  <c r="U637" i="2" s="1"/>
  <c r="R637" i="2"/>
  <c r="O637" i="2"/>
  <c r="S636" i="2" a="1"/>
  <c r="S636" i="2" s="1"/>
  <c r="U636" i="2" s="1"/>
  <c r="R636" i="2"/>
  <c r="O636" i="2"/>
  <c r="S635" i="2" a="1"/>
  <c r="S635" i="2" s="1"/>
  <c r="U635" i="2" s="1"/>
  <c r="R635" i="2"/>
  <c r="O635" i="2"/>
  <c r="S634" i="2" a="1"/>
  <c r="S634" i="2" s="1"/>
  <c r="U634" i="2" s="1"/>
  <c r="R634" i="2"/>
  <c r="O634" i="2"/>
  <c r="S633" i="2" a="1"/>
  <c r="S633" i="2" s="1"/>
  <c r="U633" i="2" s="1"/>
  <c r="R633" i="2"/>
  <c r="O633" i="2"/>
  <c r="S632" i="2" a="1"/>
  <c r="S632" i="2" s="1"/>
  <c r="U632" i="2" s="1"/>
  <c r="R632" i="2"/>
  <c r="O632" i="2"/>
  <c r="S631" i="2" a="1"/>
  <c r="S631" i="2" s="1"/>
  <c r="U631" i="2" s="1"/>
  <c r="R631" i="2"/>
  <c r="O631" i="2"/>
  <c r="S630" i="2" a="1"/>
  <c r="S630" i="2" s="1"/>
  <c r="U630" i="2" s="1"/>
  <c r="R630" i="2"/>
  <c r="O630" i="2"/>
  <c r="S629" i="2" a="1"/>
  <c r="S629" i="2" s="1"/>
  <c r="R629" i="2"/>
  <c r="O629" i="2"/>
  <c r="S628" i="2" a="1"/>
  <c r="S628" i="2" s="1"/>
  <c r="R628" i="2"/>
  <c r="O628" i="2"/>
  <c r="S627" i="2"/>
  <c r="U627" i="2" s="1"/>
  <c r="S627" i="2" a="1"/>
  <c r="R627" i="2"/>
  <c r="O627" i="2"/>
  <c r="S626" i="2" a="1"/>
  <c r="S626" i="2" s="1"/>
  <c r="U626" i="2" s="1"/>
  <c r="R626" i="2"/>
  <c r="O626" i="2"/>
  <c r="S625" i="2"/>
  <c r="U625" i="2" s="1"/>
  <c r="S625" i="2" a="1"/>
  <c r="R625" i="2"/>
  <c r="O625" i="2"/>
  <c r="S624" i="2" a="1"/>
  <c r="S624" i="2" s="1"/>
  <c r="U624" i="2" s="1"/>
  <c r="R624" i="2"/>
  <c r="O624" i="2"/>
  <c r="S623" i="2" a="1"/>
  <c r="S623" i="2" s="1"/>
  <c r="U623" i="2" s="1"/>
  <c r="R623" i="2"/>
  <c r="O623" i="2"/>
  <c r="S622" i="2" a="1"/>
  <c r="S622" i="2" s="1"/>
  <c r="R622" i="2"/>
  <c r="O622" i="2"/>
  <c r="S621" i="2" a="1"/>
  <c r="S621" i="2" s="1"/>
  <c r="R621" i="2"/>
  <c r="O621" i="2"/>
  <c r="T620" i="2"/>
  <c r="V620" i="2" s="1"/>
  <c r="W620" i="2" s="1"/>
  <c r="S620" i="2" a="1"/>
  <c r="S620" i="2" s="1"/>
  <c r="U620" i="2" s="1"/>
  <c r="R620" i="2"/>
  <c r="O620" i="2"/>
  <c r="S619" i="2" a="1"/>
  <c r="S619" i="2" s="1"/>
  <c r="U619" i="2" s="1"/>
  <c r="R619" i="2"/>
  <c r="T619" i="2" s="1"/>
  <c r="V619" i="2" s="1"/>
  <c r="W619" i="2" s="1"/>
  <c r="O619" i="2"/>
  <c r="S618" i="2" a="1"/>
  <c r="S618" i="2" s="1"/>
  <c r="R618" i="2"/>
  <c r="O618" i="2"/>
  <c r="S617" i="2" a="1"/>
  <c r="S617" i="2" s="1"/>
  <c r="R617" i="2"/>
  <c r="O617" i="2"/>
  <c r="S616" i="2" a="1"/>
  <c r="S616" i="2" s="1"/>
  <c r="R616" i="2"/>
  <c r="O616" i="2"/>
  <c r="S615" i="2" a="1"/>
  <c r="S615" i="2" s="1"/>
  <c r="U615" i="2" s="1"/>
  <c r="R615" i="2"/>
  <c r="O615" i="2"/>
  <c r="S614" i="2" a="1"/>
  <c r="S614" i="2" s="1"/>
  <c r="U614" i="2" s="1"/>
  <c r="R614" i="2"/>
  <c r="O614" i="2"/>
  <c r="S613" i="2" a="1"/>
  <c r="S613" i="2" s="1"/>
  <c r="R613" i="2"/>
  <c r="O613" i="2"/>
  <c r="S612" i="2" a="1"/>
  <c r="S612" i="2" s="1"/>
  <c r="R612" i="2"/>
  <c r="O612" i="2"/>
  <c r="S611" i="2" a="1"/>
  <c r="S611" i="2" s="1"/>
  <c r="U611" i="2" s="1"/>
  <c r="R611" i="2"/>
  <c r="O611" i="2"/>
  <c r="S610" i="2" a="1"/>
  <c r="S610" i="2" s="1"/>
  <c r="R610" i="2"/>
  <c r="O610" i="2"/>
  <c r="S609" i="2" a="1"/>
  <c r="S609" i="2" s="1"/>
  <c r="U609" i="2" s="1"/>
  <c r="R609" i="2"/>
  <c r="T609" i="2" s="1"/>
  <c r="O609" i="2"/>
  <c r="S608" i="2" a="1"/>
  <c r="S608" i="2" s="1"/>
  <c r="U608" i="2" s="1"/>
  <c r="R608" i="2"/>
  <c r="O608" i="2"/>
  <c r="S607" i="2" a="1"/>
  <c r="S607" i="2" s="1"/>
  <c r="U607" i="2" s="1"/>
  <c r="R607" i="2"/>
  <c r="O607" i="2"/>
  <c r="S606" i="2" a="1"/>
  <c r="S606" i="2" s="1"/>
  <c r="R606" i="2"/>
  <c r="O606" i="2"/>
  <c r="U605" i="2"/>
  <c r="V605" i="2" s="1"/>
  <c r="W605" i="2" s="1"/>
  <c r="S605" i="2" a="1"/>
  <c r="S605" i="2" s="1"/>
  <c r="R605" i="2"/>
  <c r="T605" i="2" s="1"/>
  <c r="O605" i="2"/>
  <c r="S604" i="2" a="1"/>
  <c r="S604" i="2" s="1"/>
  <c r="U604" i="2" s="1"/>
  <c r="R604" i="2"/>
  <c r="O604" i="2"/>
  <c r="S603" i="2" a="1"/>
  <c r="S603" i="2" s="1"/>
  <c r="U603" i="2" s="1"/>
  <c r="R603" i="2"/>
  <c r="O603" i="2"/>
  <c r="S602" i="2" a="1"/>
  <c r="S602" i="2" s="1"/>
  <c r="R602" i="2"/>
  <c r="O602" i="2"/>
  <c r="S601" i="2" a="1"/>
  <c r="S601" i="2" s="1"/>
  <c r="R601" i="2"/>
  <c r="O601" i="2"/>
  <c r="S600" i="2" a="1"/>
  <c r="S600" i="2" s="1"/>
  <c r="U600" i="2" s="1"/>
  <c r="R600" i="2"/>
  <c r="O600" i="2"/>
  <c r="S599" i="2" a="1"/>
  <c r="S599" i="2" s="1"/>
  <c r="U599" i="2" s="1"/>
  <c r="R599" i="2"/>
  <c r="O599" i="2"/>
  <c r="S598" i="2" a="1"/>
  <c r="S598" i="2" s="1"/>
  <c r="U598" i="2" s="1"/>
  <c r="R598" i="2"/>
  <c r="O598" i="2"/>
  <c r="S597" i="2" a="1"/>
  <c r="S597" i="2" s="1"/>
  <c r="U597" i="2" s="1"/>
  <c r="R597" i="2"/>
  <c r="T597" i="2" s="1"/>
  <c r="V597" i="2" s="1"/>
  <c r="W597" i="2" s="1"/>
  <c r="X597" i="2" s="1" a="1"/>
  <c r="X597" i="2" s="1"/>
  <c r="O597" i="2"/>
  <c r="S596" i="2" a="1"/>
  <c r="S596" i="2" s="1"/>
  <c r="U596" i="2" s="1"/>
  <c r="R596" i="2"/>
  <c r="O596" i="2"/>
  <c r="S595" i="2" a="1"/>
  <c r="S595" i="2" s="1"/>
  <c r="U595" i="2" s="1"/>
  <c r="R595" i="2"/>
  <c r="O595" i="2"/>
  <c r="S594" i="2" a="1"/>
  <c r="S594" i="2" s="1"/>
  <c r="R594" i="2"/>
  <c r="O594" i="2"/>
  <c r="S593" i="2" a="1"/>
  <c r="S593" i="2" s="1"/>
  <c r="R593" i="2"/>
  <c r="O593" i="2"/>
  <c r="S592" i="2" a="1"/>
  <c r="S592" i="2" s="1"/>
  <c r="R592" i="2"/>
  <c r="O592" i="2"/>
  <c r="S591" i="2" a="1"/>
  <c r="S591" i="2" s="1"/>
  <c r="U591" i="2" s="1"/>
  <c r="R591" i="2"/>
  <c r="O591" i="2"/>
  <c r="T590" i="2"/>
  <c r="V590" i="2" s="1"/>
  <c r="W590" i="2" s="1"/>
  <c r="S590" i="2" a="1"/>
  <c r="S590" i="2" s="1"/>
  <c r="U590" i="2" s="1"/>
  <c r="R590" i="2"/>
  <c r="O590" i="2"/>
  <c r="S589" i="2" a="1"/>
  <c r="S589" i="2" s="1"/>
  <c r="U589" i="2" s="1"/>
  <c r="R589" i="2"/>
  <c r="O589" i="2"/>
  <c r="S588" i="2" a="1"/>
  <c r="S588" i="2" s="1"/>
  <c r="R588" i="2"/>
  <c r="O588" i="2"/>
  <c r="S587" i="2" a="1"/>
  <c r="S587" i="2" s="1"/>
  <c r="U587" i="2" s="1"/>
  <c r="R587" i="2"/>
  <c r="O587" i="2"/>
  <c r="S586" i="2" a="1"/>
  <c r="S586" i="2" s="1"/>
  <c r="R586" i="2"/>
  <c r="O586" i="2"/>
  <c r="S585" i="2" a="1"/>
  <c r="S585" i="2" s="1"/>
  <c r="U585" i="2" s="1"/>
  <c r="R585" i="2"/>
  <c r="O585" i="2"/>
  <c r="S584" i="2"/>
  <c r="S584" i="2" a="1"/>
  <c r="R584" i="2"/>
  <c r="O584" i="2"/>
  <c r="S583" i="2" a="1"/>
  <c r="S583" i="2" s="1"/>
  <c r="U583" i="2" s="1"/>
  <c r="R583" i="2"/>
  <c r="O583" i="2"/>
  <c r="S582" i="2" a="1"/>
  <c r="S582" i="2" s="1"/>
  <c r="R582" i="2"/>
  <c r="O582" i="2"/>
  <c r="S581" i="2"/>
  <c r="U581" i="2" s="1"/>
  <c r="S581" i="2" a="1"/>
  <c r="R581" i="2"/>
  <c r="O581" i="2"/>
  <c r="S580" i="2" a="1"/>
  <c r="S580" i="2" s="1"/>
  <c r="U580" i="2" s="1"/>
  <c r="R580" i="2"/>
  <c r="O580" i="2"/>
  <c r="S579" i="2" a="1"/>
  <c r="S579" i="2" s="1"/>
  <c r="U579" i="2" s="1"/>
  <c r="R579" i="2"/>
  <c r="T579" i="2" s="1"/>
  <c r="V579" i="2" s="1"/>
  <c r="W579" i="2" s="1"/>
  <c r="O579" i="2"/>
  <c r="S578" i="2" a="1"/>
  <c r="S578" i="2" s="1"/>
  <c r="U578" i="2" s="1"/>
  <c r="R578" i="2"/>
  <c r="O578" i="2"/>
  <c r="S577" i="2" a="1"/>
  <c r="S577" i="2" s="1"/>
  <c r="U577" i="2" s="1"/>
  <c r="R577" i="2"/>
  <c r="O577" i="2"/>
  <c r="S576" i="2" a="1"/>
  <c r="S576" i="2" s="1"/>
  <c r="R576" i="2"/>
  <c r="O576" i="2"/>
  <c r="S575" i="2" a="1"/>
  <c r="S575" i="2" s="1"/>
  <c r="U575" i="2" s="1"/>
  <c r="R575" i="2"/>
  <c r="O575" i="2"/>
  <c r="S574" i="2" a="1"/>
  <c r="S574" i="2" s="1"/>
  <c r="R574" i="2"/>
  <c r="O574" i="2"/>
  <c r="S573" i="2" a="1"/>
  <c r="S573" i="2" s="1"/>
  <c r="U573" i="2" s="1"/>
  <c r="R573" i="2"/>
  <c r="T573" i="2" s="1"/>
  <c r="V573" i="2" s="1"/>
  <c r="W573" i="2" s="1"/>
  <c r="O573" i="2"/>
  <c r="S572" i="2" a="1"/>
  <c r="S572" i="2" s="1"/>
  <c r="U572" i="2" s="1"/>
  <c r="R572" i="2"/>
  <c r="O572" i="2"/>
  <c r="S571" i="2" a="1"/>
  <c r="S571" i="2" s="1"/>
  <c r="U571" i="2" s="1"/>
  <c r="R571" i="2"/>
  <c r="O571" i="2"/>
  <c r="S570" i="2" a="1"/>
  <c r="S570" i="2" s="1"/>
  <c r="R570" i="2"/>
  <c r="O570" i="2"/>
  <c r="S569" i="2" a="1"/>
  <c r="S569" i="2" s="1"/>
  <c r="U569" i="2" s="1"/>
  <c r="R569" i="2"/>
  <c r="O569" i="2"/>
  <c r="S568" i="2" a="1"/>
  <c r="S568" i="2" s="1"/>
  <c r="R568" i="2"/>
  <c r="O568" i="2"/>
  <c r="S567" i="2" a="1"/>
  <c r="S567" i="2" s="1"/>
  <c r="R567" i="2"/>
  <c r="O567" i="2"/>
  <c r="S566" i="2" a="1"/>
  <c r="S566" i="2" s="1"/>
  <c r="T566" i="2" s="1"/>
  <c r="R566" i="2"/>
  <c r="O566" i="2"/>
  <c r="S565" i="2" a="1"/>
  <c r="S565" i="2" s="1"/>
  <c r="U565" i="2" s="1"/>
  <c r="R565" i="2"/>
  <c r="O565" i="2"/>
  <c r="S564" i="2" a="1"/>
  <c r="S564" i="2" s="1"/>
  <c r="U564" i="2" s="1"/>
  <c r="R564" i="2"/>
  <c r="O564" i="2"/>
  <c r="S563" i="2" a="1"/>
  <c r="S563" i="2" s="1"/>
  <c r="U563" i="2" s="1"/>
  <c r="R563" i="2"/>
  <c r="O563" i="2"/>
  <c r="S562" i="2" a="1"/>
  <c r="S562" i="2" s="1"/>
  <c r="R562" i="2"/>
  <c r="O562" i="2"/>
  <c r="S561" i="2" a="1"/>
  <c r="S561" i="2" s="1"/>
  <c r="U561" i="2" s="1"/>
  <c r="R561" i="2"/>
  <c r="O561" i="2"/>
  <c r="S560" i="2" a="1"/>
  <c r="S560" i="2" s="1"/>
  <c r="U560" i="2" s="1"/>
  <c r="R560" i="2"/>
  <c r="O560" i="2"/>
  <c r="S559" i="2" a="1"/>
  <c r="S559" i="2" s="1"/>
  <c r="U559" i="2" s="1"/>
  <c r="R559" i="2"/>
  <c r="O559" i="2"/>
  <c r="S558" i="2" a="1"/>
  <c r="S558" i="2" s="1"/>
  <c r="R558" i="2"/>
  <c r="O558" i="2"/>
  <c r="S557" i="2" a="1"/>
  <c r="S557" i="2" s="1"/>
  <c r="U557" i="2" s="1"/>
  <c r="R557" i="2"/>
  <c r="O557" i="2"/>
  <c r="S556" i="2" a="1"/>
  <c r="S556" i="2" s="1"/>
  <c r="U556" i="2" s="1"/>
  <c r="R556" i="2"/>
  <c r="O556" i="2"/>
  <c r="S555" i="2" a="1"/>
  <c r="S555" i="2" s="1"/>
  <c r="U555" i="2" s="1"/>
  <c r="R555" i="2"/>
  <c r="O555" i="2"/>
  <c r="S554" i="2" a="1"/>
  <c r="S554" i="2" s="1"/>
  <c r="R554" i="2"/>
  <c r="O554" i="2"/>
  <c r="S553" i="2" a="1"/>
  <c r="S553" i="2" s="1"/>
  <c r="U553" i="2" s="1"/>
  <c r="R553" i="2"/>
  <c r="O553" i="2"/>
  <c r="S552" i="2"/>
  <c r="U552" i="2" s="1"/>
  <c r="S552" i="2" a="1"/>
  <c r="R552" i="2"/>
  <c r="O552" i="2"/>
  <c r="S551" i="2" a="1"/>
  <c r="S551" i="2" s="1"/>
  <c r="U551" i="2" s="1"/>
  <c r="R551" i="2"/>
  <c r="O551" i="2"/>
  <c r="S550" i="2" a="1"/>
  <c r="S550" i="2" s="1"/>
  <c r="R550" i="2"/>
  <c r="O550" i="2"/>
  <c r="S549" i="2" a="1"/>
  <c r="S549" i="2" s="1"/>
  <c r="U549" i="2" s="1"/>
  <c r="R549" i="2"/>
  <c r="O549" i="2"/>
  <c r="S548" i="2" a="1"/>
  <c r="S548" i="2" s="1"/>
  <c r="U548" i="2" s="1"/>
  <c r="R548" i="2"/>
  <c r="T548" i="2" s="1"/>
  <c r="V548" i="2" s="1"/>
  <c r="W548" i="2" s="1"/>
  <c r="O548" i="2"/>
  <c r="S547" i="2" a="1"/>
  <c r="S547" i="2" s="1"/>
  <c r="U547" i="2" s="1"/>
  <c r="R547" i="2"/>
  <c r="O547" i="2"/>
  <c r="S546" i="2" a="1"/>
  <c r="S546" i="2" s="1"/>
  <c r="R546" i="2"/>
  <c r="O546" i="2"/>
  <c r="U545" i="2"/>
  <c r="S545" i="2" a="1"/>
  <c r="S545" i="2" s="1"/>
  <c r="R545" i="2"/>
  <c r="T545" i="2" s="1"/>
  <c r="V545" i="2" s="1"/>
  <c r="W545" i="2" s="1"/>
  <c r="O545" i="2"/>
  <c r="S544" i="2" a="1"/>
  <c r="S544" i="2" s="1"/>
  <c r="U544" i="2" s="1"/>
  <c r="R544" i="2"/>
  <c r="O544" i="2"/>
  <c r="S543" i="2" a="1"/>
  <c r="S543" i="2" s="1"/>
  <c r="U543" i="2" s="1"/>
  <c r="R543" i="2"/>
  <c r="O543" i="2"/>
  <c r="S542" i="2" a="1"/>
  <c r="S542" i="2" s="1"/>
  <c r="R542" i="2"/>
  <c r="O542" i="2"/>
  <c r="S541" i="2" a="1"/>
  <c r="S541" i="2" s="1"/>
  <c r="U541" i="2" s="1"/>
  <c r="R541" i="2"/>
  <c r="T541" i="2" s="1"/>
  <c r="V541" i="2" s="1"/>
  <c r="W541" i="2" s="1"/>
  <c r="O541" i="2"/>
  <c r="S540" i="2" a="1"/>
  <c r="S540" i="2" s="1"/>
  <c r="U540" i="2" s="1"/>
  <c r="R540" i="2"/>
  <c r="O540" i="2"/>
  <c r="S539" i="2" a="1"/>
  <c r="S539" i="2" s="1"/>
  <c r="U539" i="2" s="1"/>
  <c r="R539" i="2"/>
  <c r="O539" i="2"/>
  <c r="S538" i="2" a="1"/>
  <c r="S538" i="2" s="1"/>
  <c r="R538" i="2"/>
  <c r="O538" i="2"/>
  <c r="S537" i="2" a="1"/>
  <c r="S537" i="2" s="1"/>
  <c r="U537" i="2" s="1"/>
  <c r="R537" i="2"/>
  <c r="O537" i="2"/>
  <c r="S536" i="2" a="1"/>
  <c r="S536" i="2" s="1"/>
  <c r="U536" i="2" s="1"/>
  <c r="R536" i="2"/>
  <c r="O536" i="2"/>
  <c r="S535" i="2" a="1"/>
  <c r="S535" i="2" s="1"/>
  <c r="U535" i="2" s="1"/>
  <c r="R535" i="2"/>
  <c r="O535" i="2"/>
  <c r="S534" i="2" a="1"/>
  <c r="S534" i="2" s="1"/>
  <c r="R534" i="2"/>
  <c r="O534" i="2"/>
  <c r="S533" i="2" a="1"/>
  <c r="S533" i="2" s="1"/>
  <c r="U533" i="2" s="1"/>
  <c r="R533" i="2"/>
  <c r="O533" i="2"/>
  <c r="S532" i="2" a="1"/>
  <c r="S532" i="2" s="1"/>
  <c r="R532" i="2"/>
  <c r="O532" i="2"/>
  <c r="S531" i="2" a="1"/>
  <c r="S531" i="2" s="1"/>
  <c r="R531" i="2"/>
  <c r="O531" i="2"/>
  <c r="S530" i="2" a="1"/>
  <c r="S530" i="2" s="1"/>
  <c r="R530" i="2"/>
  <c r="O530" i="2"/>
  <c r="S529" i="2" a="1"/>
  <c r="S529" i="2" s="1"/>
  <c r="U529" i="2" s="1"/>
  <c r="R529" i="2"/>
  <c r="O529" i="2"/>
  <c r="S528" i="2" a="1"/>
  <c r="S528" i="2" s="1"/>
  <c r="R528" i="2"/>
  <c r="O528" i="2"/>
  <c r="S527" i="2" a="1"/>
  <c r="S527" i="2" s="1"/>
  <c r="U527" i="2" s="1"/>
  <c r="R527" i="2"/>
  <c r="O527" i="2"/>
  <c r="S526" i="2" a="1"/>
  <c r="S526" i="2" s="1"/>
  <c r="U526" i="2" s="1"/>
  <c r="R526" i="2"/>
  <c r="T526" i="2" s="1"/>
  <c r="V526" i="2" s="1"/>
  <c r="W526" i="2" s="1"/>
  <c r="Y526" i="2" s="1"/>
  <c r="Z526" i="2" s="1"/>
  <c r="O526" i="2"/>
  <c r="S525" i="2" a="1"/>
  <c r="S525" i="2" s="1"/>
  <c r="U525" i="2" s="1"/>
  <c r="R525" i="2"/>
  <c r="O525" i="2"/>
  <c r="S524" i="2" a="1"/>
  <c r="S524" i="2" s="1"/>
  <c r="R524" i="2"/>
  <c r="O524" i="2"/>
  <c r="S523" i="2" a="1"/>
  <c r="S523" i="2" s="1"/>
  <c r="U523" i="2" s="1"/>
  <c r="R523" i="2"/>
  <c r="O523" i="2"/>
  <c r="S522" i="2" a="1"/>
  <c r="S522" i="2" s="1"/>
  <c r="U522" i="2" s="1"/>
  <c r="R522" i="2"/>
  <c r="O522" i="2"/>
  <c r="S521" i="2" a="1"/>
  <c r="S521" i="2" s="1"/>
  <c r="U521" i="2" s="1"/>
  <c r="R521" i="2"/>
  <c r="T521" i="2" s="1"/>
  <c r="O521" i="2"/>
  <c r="T520" i="2"/>
  <c r="V520" i="2" s="1"/>
  <c r="W520" i="2" s="1"/>
  <c r="S520" i="2" a="1"/>
  <c r="S520" i="2" s="1"/>
  <c r="U520" i="2" s="1"/>
  <c r="R520" i="2"/>
  <c r="O520" i="2"/>
  <c r="S519" i="2" a="1"/>
  <c r="S519" i="2" s="1"/>
  <c r="U519" i="2" s="1"/>
  <c r="R519" i="2"/>
  <c r="T519" i="2" s="1"/>
  <c r="V519" i="2" s="1"/>
  <c r="W519" i="2" s="1"/>
  <c r="O519" i="2"/>
  <c r="S518" i="2" a="1"/>
  <c r="S518" i="2" s="1"/>
  <c r="U518" i="2" s="1"/>
  <c r="R518" i="2"/>
  <c r="O518" i="2"/>
  <c r="S517" i="2" a="1"/>
  <c r="S517" i="2" s="1"/>
  <c r="U517" i="2" s="1"/>
  <c r="R517" i="2"/>
  <c r="O517" i="2"/>
  <c r="S516" i="2" a="1"/>
  <c r="S516" i="2" s="1"/>
  <c r="U516" i="2" s="1"/>
  <c r="R516" i="2"/>
  <c r="O516" i="2"/>
  <c r="S515" i="2" a="1"/>
  <c r="S515" i="2" s="1"/>
  <c r="R515" i="2"/>
  <c r="O515" i="2"/>
  <c r="S514" i="2" a="1"/>
  <c r="S514" i="2" s="1"/>
  <c r="U514" i="2" s="1"/>
  <c r="R514" i="2"/>
  <c r="O514" i="2"/>
  <c r="S513" i="2" a="1"/>
  <c r="S513" i="2" s="1"/>
  <c r="U513" i="2" s="1"/>
  <c r="R513" i="2"/>
  <c r="O513" i="2"/>
  <c r="S512" i="2" a="1"/>
  <c r="S512" i="2" s="1"/>
  <c r="R512" i="2"/>
  <c r="O512" i="2"/>
  <c r="S511" i="2" a="1"/>
  <c r="S511" i="2" s="1"/>
  <c r="U511" i="2" s="1"/>
  <c r="R511" i="2"/>
  <c r="T511" i="2" s="1"/>
  <c r="V511" i="2" s="1"/>
  <c r="W511" i="2" s="1"/>
  <c r="O511" i="2"/>
  <c r="U510" i="2"/>
  <c r="S510" i="2" a="1"/>
  <c r="S510" i="2" s="1"/>
  <c r="R510" i="2"/>
  <c r="O510" i="2"/>
  <c r="S509" i="2" a="1"/>
  <c r="S509" i="2" s="1"/>
  <c r="U509" i="2" s="1"/>
  <c r="R509" i="2"/>
  <c r="O509" i="2"/>
  <c r="S508" i="2" a="1"/>
  <c r="S508" i="2" s="1"/>
  <c r="U508" i="2" s="1"/>
  <c r="R508" i="2"/>
  <c r="O508" i="2"/>
  <c r="S507" i="2"/>
  <c r="S507" i="2" a="1"/>
  <c r="R507" i="2"/>
  <c r="O507" i="2"/>
  <c r="S506" i="2"/>
  <c r="U506" i="2" s="1"/>
  <c r="S506" i="2" a="1"/>
  <c r="R506" i="2"/>
  <c r="O506" i="2"/>
  <c r="S505" i="2" a="1"/>
  <c r="S505" i="2" s="1"/>
  <c r="U505" i="2" s="1"/>
  <c r="R505" i="2"/>
  <c r="O505" i="2"/>
  <c r="S504" i="2" a="1"/>
  <c r="S504" i="2" s="1"/>
  <c r="U504" i="2" s="1"/>
  <c r="R504" i="2"/>
  <c r="O504" i="2"/>
  <c r="S503" i="2" a="1"/>
  <c r="S503" i="2" s="1"/>
  <c r="U503" i="2" s="1"/>
  <c r="R503" i="2"/>
  <c r="O503" i="2"/>
  <c r="S502" i="2" a="1"/>
  <c r="S502" i="2" s="1"/>
  <c r="U502" i="2" s="1"/>
  <c r="R502" i="2"/>
  <c r="T502" i="2" s="1"/>
  <c r="V502" i="2" s="1"/>
  <c r="W502" i="2" s="1"/>
  <c r="O502" i="2"/>
  <c r="S501" i="2" a="1"/>
  <c r="S501" i="2" s="1"/>
  <c r="U501" i="2" s="1"/>
  <c r="R501" i="2"/>
  <c r="O501" i="2"/>
  <c r="S500" i="2" a="1"/>
  <c r="S500" i="2" s="1"/>
  <c r="U500" i="2" s="1"/>
  <c r="R500" i="2"/>
  <c r="O500" i="2"/>
  <c r="S499" i="2"/>
  <c r="U499" i="2" s="1"/>
  <c r="S499" i="2" a="1"/>
  <c r="R499" i="2"/>
  <c r="O499" i="2"/>
  <c r="S498" i="2" a="1"/>
  <c r="S498" i="2" s="1"/>
  <c r="U498" i="2" s="1"/>
  <c r="R498" i="2"/>
  <c r="O498" i="2"/>
  <c r="S497" i="2" a="1"/>
  <c r="S497" i="2" s="1"/>
  <c r="U497" i="2" s="1"/>
  <c r="R497" i="2"/>
  <c r="O497" i="2"/>
  <c r="S496" i="2" a="1"/>
  <c r="S496" i="2" s="1"/>
  <c r="U496" i="2" s="1"/>
  <c r="R496" i="2"/>
  <c r="O496" i="2"/>
  <c r="S495" i="2" a="1"/>
  <c r="S495" i="2" s="1"/>
  <c r="U495" i="2" s="1"/>
  <c r="R495" i="2"/>
  <c r="O495" i="2"/>
  <c r="S494" i="2" a="1"/>
  <c r="S494" i="2" s="1"/>
  <c r="U494" i="2" s="1"/>
  <c r="R494" i="2"/>
  <c r="T494" i="2" s="1"/>
  <c r="V494" i="2" s="1"/>
  <c r="W494" i="2" s="1"/>
  <c r="O494" i="2"/>
  <c r="S493" i="2" a="1"/>
  <c r="S493" i="2" s="1"/>
  <c r="U493" i="2" s="1"/>
  <c r="R493" i="2"/>
  <c r="O493" i="2"/>
  <c r="S492" i="2" a="1"/>
  <c r="S492" i="2" s="1"/>
  <c r="U492" i="2" s="1"/>
  <c r="R492" i="2"/>
  <c r="O492" i="2"/>
  <c r="S491" i="2"/>
  <c r="U491" i="2" s="1"/>
  <c r="S491" i="2" a="1"/>
  <c r="R491" i="2"/>
  <c r="O491" i="2"/>
  <c r="S490" i="2" a="1"/>
  <c r="S490" i="2" s="1"/>
  <c r="U490" i="2" s="1"/>
  <c r="R490" i="2"/>
  <c r="O490" i="2"/>
  <c r="S489" i="2" a="1"/>
  <c r="S489" i="2" s="1"/>
  <c r="U489" i="2" s="1"/>
  <c r="R489" i="2"/>
  <c r="O489" i="2"/>
  <c r="S488" i="2" a="1"/>
  <c r="S488" i="2" s="1"/>
  <c r="U488" i="2" s="1"/>
  <c r="R488" i="2"/>
  <c r="O488" i="2"/>
  <c r="S487" i="2"/>
  <c r="S487" i="2" a="1"/>
  <c r="R487" i="2"/>
  <c r="O487" i="2"/>
  <c r="S486" i="2" a="1"/>
  <c r="S486" i="2" s="1"/>
  <c r="U486" i="2" s="1"/>
  <c r="R486" i="2"/>
  <c r="O486" i="2"/>
  <c r="S485" i="2" a="1"/>
  <c r="S485" i="2" s="1"/>
  <c r="R485" i="2"/>
  <c r="O485" i="2"/>
  <c r="S484" i="2" a="1"/>
  <c r="S484" i="2" s="1"/>
  <c r="R484" i="2"/>
  <c r="O484" i="2"/>
  <c r="S483" i="2" a="1"/>
  <c r="S483" i="2" s="1"/>
  <c r="U483" i="2" s="1"/>
  <c r="R483" i="2"/>
  <c r="O483" i="2"/>
  <c r="S482" i="2"/>
  <c r="U482" i="2" s="1"/>
  <c r="S482" i="2" a="1"/>
  <c r="R482" i="2"/>
  <c r="T482" i="2" s="1"/>
  <c r="O482" i="2"/>
  <c r="S481" i="2" a="1"/>
  <c r="S481" i="2" s="1"/>
  <c r="U481" i="2" s="1"/>
  <c r="R481" i="2"/>
  <c r="O481" i="2"/>
  <c r="S480" i="2" a="1"/>
  <c r="S480" i="2" s="1"/>
  <c r="U480" i="2" s="1"/>
  <c r="R480" i="2"/>
  <c r="O480" i="2"/>
  <c r="U479" i="2"/>
  <c r="S479" i="2" a="1"/>
  <c r="S479" i="2" s="1"/>
  <c r="R479" i="2"/>
  <c r="O479" i="2"/>
  <c r="S478" i="2" a="1"/>
  <c r="S478" i="2" s="1"/>
  <c r="U478" i="2" s="1"/>
  <c r="R478" i="2"/>
  <c r="O478" i="2"/>
  <c r="S477" i="2" a="1"/>
  <c r="S477" i="2" s="1"/>
  <c r="R477" i="2"/>
  <c r="O477" i="2"/>
  <c r="S476" i="2" a="1"/>
  <c r="S476" i="2" s="1"/>
  <c r="U476" i="2" s="1"/>
  <c r="R476" i="2"/>
  <c r="O476" i="2"/>
  <c r="S475" i="2" a="1"/>
  <c r="S475" i="2" s="1"/>
  <c r="R475" i="2"/>
  <c r="O475" i="2"/>
  <c r="S474" i="2" a="1"/>
  <c r="S474" i="2" s="1"/>
  <c r="U474" i="2" s="1"/>
  <c r="R474" i="2"/>
  <c r="O474" i="2"/>
  <c r="S473" i="2" a="1"/>
  <c r="S473" i="2" s="1"/>
  <c r="R473" i="2"/>
  <c r="O473" i="2"/>
  <c r="U472" i="2"/>
  <c r="S472" i="2" a="1"/>
  <c r="S472" i="2" s="1"/>
  <c r="R472" i="2"/>
  <c r="O472" i="2"/>
  <c r="S471" i="2" a="1"/>
  <c r="S471" i="2" s="1"/>
  <c r="R471" i="2"/>
  <c r="O471" i="2"/>
  <c r="S470" i="2" a="1"/>
  <c r="S470" i="2" s="1"/>
  <c r="U470" i="2" s="1"/>
  <c r="R470" i="2"/>
  <c r="O470" i="2"/>
  <c r="S469" i="2" a="1"/>
  <c r="S469" i="2" s="1"/>
  <c r="R469" i="2"/>
  <c r="O469" i="2"/>
  <c r="S468" i="2" a="1"/>
  <c r="S468" i="2" s="1"/>
  <c r="U468" i="2" s="1"/>
  <c r="R468" i="2"/>
  <c r="O468" i="2"/>
  <c r="S467" i="2" a="1"/>
  <c r="S467" i="2" s="1"/>
  <c r="R467" i="2"/>
  <c r="O467" i="2"/>
  <c r="S466" i="2" a="1"/>
  <c r="S466" i="2" s="1"/>
  <c r="U466" i="2" s="1"/>
  <c r="R466" i="2"/>
  <c r="O466" i="2"/>
  <c r="S465" i="2" a="1"/>
  <c r="S465" i="2" s="1"/>
  <c r="R465" i="2"/>
  <c r="O465" i="2"/>
  <c r="S464" i="2" a="1"/>
  <c r="S464" i="2" s="1"/>
  <c r="U464" i="2" s="1"/>
  <c r="R464" i="2"/>
  <c r="O464" i="2"/>
  <c r="S463" i="2" a="1"/>
  <c r="S463" i="2" s="1"/>
  <c r="R463" i="2"/>
  <c r="O463" i="2"/>
  <c r="U462" i="2"/>
  <c r="S462" i="2" a="1"/>
  <c r="S462" i="2" s="1"/>
  <c r="R462" i="2"/>
  <c r="O462" i="2"/>
  <c r="S461" i="2" a="1"/>
  <c r="S461" i="2" s="1"/>
  <c r="U461" i="2" s="1"/>
  <c r="R461" i="2"/>
  <c r="T461" i="2" s="1"/>
  <c r="V461" i="2" s="1"/>
  <c r="W461" i="2" s="1"/>
  <c r="O461" i="2"/>
  <c r="S460" i="2" a="1"/>
  <c r="S460" i="2" s="1"/>
  <c r="U460" i="2" s="1"/>
  <c r="R460" i="2"/>
  <c r="O460" i="2"/>
  <c r="S459" i="2"/>
  <c r="S459" i="2" a="1"/>
  <c r="R459" i="2"/>
  <c r="O459" i="2"/>
  <c r="U458" i="2"/>
  <c r="S458" i="2" a="1"/>
  <c r="S458" i="2" s="1"/>
  <c r="R458" i="2"/>
  <c r="T458" i="2" s="1"/>
  <c r="O458" i="2"/>
  <c r="S457" i="2" a="1"/>
  <c r="S457" i="2" s="1"/>
  <c r="U457" i="2" s="1"/>
  <c r="R457" i="2"/>
  <c r="O457" i="2"/>
  <c r="S456" i="2" a="1"/>
  <c r="S456" i="2" s="1"/>
  <c r="U456" i="2" s="1"/>
  <c r="R456" i="2"/>
  <c r="O456" i="2"/>
  <c r="S455" i="2" a="1"/>
  <c r="S455" i="2" s="1"/>
  <c r="R455" i="2"/>
  <c r="O455" i="2"/>
  <c r="S454" i="2" a="1"/>
  <c r="S454" i="2" s="1"/>
  <c r="U454" i="2" s="1"/>
  <c r="R454" i="2"/>
  <c r="O454" i="2"/>
  <c r="S453" i="2" a="1"/>
  <c r="S453" i="2" s="1"/>
  <c r="U453" i="2" s="1"/>
  <c r="R453" i="2"/>
  <c r="O453" i="2"/>
  <c r="S452" i="2" a="1"/>
  <c r="S452" i="2" s="1"/>
  <c r="U452" i="2" s="1"/>
  <c r="R452" i="2"/>
  <c r="O452" i="2"/>
  <c r="S451" i="2" a="1"/>
  <c r="S451" i="2" s="1"/>
  <c r="R451" i="2"/>
  <c r="O451" i="2"/>
  <c r="S450" i="2" a="1"/>
  <c r="S450" i="2" s="1"/>
  <c r="U450" i="2" s="1"/>
  <c r="R450" i="2"/>
  <c r="T450" i="2" s="1"/>
  <c r="O450" i="2"/>
  <c r="S449" i="2" a="1"/>
  <c r="S449" i="2" s="1"/>
  <c r="U449" i="2" s="1"/>
  <c r="R449" i="2"/>
  <c r="O449" i="2"/>
  <c r="U448" i="2"/>
  <c r="S448" i="2" a="1"/>
  <c r="S448" i="2" s="1"/>
  <c r="R448" i="2"/>
  <c r="T448" i="2" s="1"/>
  <c r="O448" i="2"/>
  <c r="S447" i="2" a="1"/>
  <c r="S447" i="2" s="1"/>
  <c r="R447" i="2"/>
  <c r="O447" i="2"/>
  <c r="S446" i="2" a="1"/>
  <c r="S446" i="2" s="1"/>
  <c r="U446" i="2" s="1"/>
  <c r="R446" i="2"/>
  <c r="O446" i="2"/>
  <c r="S445" i="2" a="1"/>
  <c r="S445" i="2" s="1"/>
  <c r="U445" i="2" s="1"/>
  <c r="R445" i="2"/>
  <c r="O445" i="2"/>
  <c r="S444" i="2" a="1"/>
  <c r="S444" i="2" s="1"/>
  <c r="U444" i="2" s="1"/>
  <c r="R444" i="2"/>
  <c r="O444" i="2"/>
  <c r="S443" i="2"/>
  <c r="S443" i="2" a="1"/>
  <c r="R443" i="2"/>
  <c r="O443" i="2"/>
  <c r="U442" i="2"/>
  <c r="S442" i="2" a="1"/>
  <c r="S442" i="2" s="1"/>
  <c r="R442" i="2"/>
  <c r="O442" i="2"/>
  <c r="S441" i="2" a="1"/>
  <c r="S441" i="2" s="1"/>
  <c r="U441" i="2" s="1"/>
  <c r="R441" i="2"/>
  <c r="O441" i="2"/>
  <c r="S440" i="2" a="1"/>
  <c r="S440" i="2" s="1"/>
  <c r="U440" i="2" s="1"/>
  <c r="R440" i="2"/>
  <c r="O440" i="2"/>
  <c r="S439" i="2"/>
  <c r="U439" i="2" s="1"/>
  <c r="S439" i="2" a="1"/>
  <c r="R439" i="2"/>
  <c r="O439" i="2"/>
  <c r="S438" i="2" a="1"/>
  <c r="S438" i="2" s="1"/>
  <c r="U438" i="2" s="1"/>
  <c r="R438" i="2"/>
  <c r="O438" i="2"/>
  <c r="S437" i="2" a="1"/>
  <c r="S437" i="2" s="1"/>
  <c r="U437" i="2" s="1"/>
  <c r="R437" i="2"/>
  <c r="O437" i="2"/>
  <c r="S436" i="2" a="1"/>
  <c r="S436" i="2" s="1"/>
  <c r="U436" i="2" s="1"/>
  <c r="R436" i="2"/>
  <c r="O436" i="2"/>
  <c r="S435" i="2" a="1"/>
  <c r="S435" i="2" s="1"/>
  <c r="U435" i="2" s="1"/>
  <c r="R435" i="2"/>
  <c r="O435" i="2"/>
  <c r="S434" i="2" a="1"/>
  <c r="S434" i="2" s="1"/>
  <c r="U434" i="2" s="1"/>
  <c r="R434" i="2"/>
  <c r="O434" i="2"/>
  <c r="S433" i="2" a="1"/>
  <c r="S433" i="2" s="1"/>
  <c r="R433" i="2"/>
  <c r="O433" i="2"/>
  <c r="S432" i="2" a="1"/>
  <c r="S432" i="2" s="1"/>
  <c r="U432" i="2" s="1"/>
  <c r="R432" i="2"/>
  <c r="T432" i="2" s="1"/>
  <c r="V432" i="2" s="1"/>
  <c r="W432" i="2" s="1"/>
  <c r="O432" i="2"/>
  <c r="S431" i="2" a="1"/>
  <c r="S431" i="2" s="1"/>
  <c r="U431" i="2" s="1"/>
  <c r="R431" i="2"/>
  <c r="O431" i="2"/>
  <c r="S430" i="2" a="1"/>
  <c r="S430" i="2" s="1"/>
  <c r="U430" i="2" s="1"/>
  <c r="R430" i="2"/>
  <c r="O430" i="2"/>
  <c r="S429" i="2"/>
  <c r="U429" i="2" s="1"/>
  <c r="S429" i="2" a="1"/>
  <c r="R429" i="2"/>
  <c r="O429" i="2"/>
  <c r="S428" i="2" a="1"/>
  <c r="S428" i="2" s="1"/>
  <c r="U428" i="2" s="1"/>
  <c r="R428" i="2"/>
  <c r="O428" i="2"/>
  <c r="S427" i="2" a="1"/>
  <c r="S427" i="2" s="1"/>
  <c r="R427" i="2"/>
  <c r="O427" i="2"/>
  <c r="S426" i="2" a="1"/>
  <c r="S426" i="2" s="1"/>
  <c r="U426" i="2" s="1"/>
  <c r="R426" i="2"/>
  <c r="O426" i="2"/>
  <c r="S425" i="2" a="1"/>
  <c r="S425" i="2" s="1"/>
  <c r="U425" i="2" s="1"/>
  <c r="R425" i="2"/>
  <c r="O425" i="2"/>
  <c r="S424" i="2" a="1"/>
  <c r="S424" i="2" s="1"/>
  <c r="U424" i="2" s="1"/>
  <c r="R424" i="2"/>
  <c r="T424" i="2" s="1"/>
  <c r="O424" i="2"/>
  <c r="S423" i="2" a="1"/>
  <c r="S423" i="2" s="1"/>
  <c r="R423" i="2"/>
  <c r="O423" i="2"/>
  <c r="S422" i="2" a="1"/>
  <c r="S422" i="2" s="1"/>
  <c r="U422" i="2" s="1"/>
  <c r="R422" i="2"/>
  <c r="O422" i="2"/>
  <c r="S421" i="2" a="1"/>
  <c r="S421" i="2" s="1"/>
  <c r="U421" i="2" s="1"/>
  <c r="R421" i="2"/>
  <c r="O421" i="2"/>
  <c r="S420" i="2" a="1"/>
  <c r="S420" i="2" s="1"/>
  <c r="U420" i="2" s="1"/>
  <c r="R420" i="2"/>
  <c r="O420" i="2"/>
  <c r="S419" i="2" a="1"/>
  <c r="S419" i="2" s="1"/>
  <c r="R419" i="2"/>
  <c r="O419" i="2"/>
  <c r="S418" i="2" a="1"/>
  <c r="S418" i="2" s="1"/>
  <c r="U418" i="2" s="1"/>
  <c r="R418" i="2"/>
  <c r="O418" i="2"/>
  <c r="S417" i="2" a="1"/>
  <c r="S417" i="2" s="1"/>
  <c r="U417" i="2" s="1"/>
  <c r="R417" i="2"/>
  <c r="O417" i="2"/>
  <c r="S416" i="2" a="1"/>
  <c r="S416" i="2" s="1"/>
  <c r="U416" i="2" s="1"/>
  <c r="R416" i="2"/>
  <c r="O416" i="2"/>
  <c r="S415" i="2" a="1"/>
  <c r="S415" i="2" s="1"/>
  <c r="R415" i="2"/>
  <c r="O415" i="2"/>
  <c r="S414" i="2" a="1"/>
  <c r="S414" i="2" s="1"/>
  <c r="U414" i="2" s="1"/>
  <c r="R414" i="2"/>
  <c r="O414" i="2"/>
  <c r="S413" i="2" a="1"/>
  <c r="S413" i="2" s="1"/>
  <c r="R413" i="2"/>
  <c r="O413" i="2"/>
  <c r="S412" i="2" a="1"/>
  <c r="S412" i="2" s="1"/>
  <c r="U412" i="2" s="1"/>
  <c r="R412" i="2"/>
  <c r="O412" i="2"/>
  <c r="S411" i="2" a="1"/>
  <c r="S411" i="2" s="1"/>
  <c r="R411" i="2"/>
  <c r="O411" i="2"/>
  <c r="S410" i="2" a="1"/>
  <c r="S410" i="2" s="1"/>
  <c r="U410" i="2" s="1"/>
  <c r="R410" i="2"/>
  <c r="O410" i="2"/>
  <c r="S409" i="2" a="1"/>
  <c r="S409" i="2" s="1"/>
  <c r="R409" i="2"/>
  <c r="O409" i="2"/>
  <c r="S408" i="2" a="1"/>
  <c r="S408" i="2" s="1"/>
  <c r="U408" i="2" s="1"/>
  <c r="R408" i="2"/>
  <c r="O408" i="2"/>
  <c r="S407" i="2" a="1"/>
  <c r="S407" i="2" s="1"/>
  <c r="R407" i="2"/>
  <c r="O407" i="2"/>
  <c r="S406" i="2" a="1"/>
  <c r="S406" i="2" s="1"/>
  <c r="U406" i="2" s="1"/>
  <c r="R406" i="2"/>
  <c r="O406" i="2"/>
  <c r="S405" i="2" a="1"/>
  <c r="S405" i="2" s="1"/>
  <c r="R405" i="2"/>
  <c r="O405" i="2"/>
  <c r="S404" i="2" a="1"/>
  <c r="S404" i="2" s="1"/>
  <c r="U404" i="2" s="1"/>
  <c r="R404" i="2"/>
  <c r="O404" i="2"/>
  <c r="S403" i="2" a="1"/>
  <c r="S403" i="2" s="1"/>
  <c r="R403" i="2"/>
  <c r="O403" i="2"/>
  <c r="U402" i="2"/>
  <c r="S402" i="2" a="1"/>
  <c r="S402" i="2" s="1"/>
  <c r="R402" i="2"/>
  <c r="T402" i="2" s="1"/>
  <c r="V402" i="2" s="1"/>
  <c r="W402" i="2" s="1"/>
  <c r="Y402" i="2" s="1"/>
  <c r="Z402" i="2" s="1"/>
  <c r="O402" i="2"/>
  <c r="S401" i="2" a="1"/>
  <c r="S401" i="2" s="1"/>
  <c r="R401" i="2"/>
  <c r="O401" i="2"/>
  <c r="S400" i="2" a="1"/>
  <c r="S400" i="2" s="1"/>
  <c r="U400" i="2" s="1"/>
  <c r="R400" i="2"/>
  <c r="O400" i="2"/>
  <c r="S399" i="2" a="1"/>
  <c r="S399" i="2" s="1"/>
  <c r="R399" i="2"/>
  <c r="O399" i="2"/>
  <c r="S398" i="2" a="1"/>
  <c r="S398" i="2" s="1"/>
  <c r="U398" i="2" s="1"/>
  <c r="R398" i="2"/>
  <c r="O398" i="2"/>
  <c r="S397" i="2" a="1"/>
  <c r="S397" i="2" s="1"/>
  <c r="R397" i="2"/>
  <c r="O397" i="2"/>
  <c r="S396" i="2" a="1"/>
  <c r="S396" i="2" s="1"/>
  <c r="U396" i="2" s="1"/>
  <c r="R396" i="2"/>
  <c r="T396" i="2" s="1"/>
  <c r="V396" i="2" s="1"/>
  <c r="W396" i="2" s="1"/>
  <c r="O396" i="2"/>
  <c r="S395" i="2"/>
  <c r="S395" i="2" a="1"/>
  <c r="R395" i="2"/>
  <c r="O395" i="2"/>
  <c r="S394" i="2" a="1"/>
  <c r="S394" i="2" s="1"/>
  <c r="U394" i="2" s="1"/>
  <c r="R394" i="2"/>
  <c r="O394" i="2"/>
  <c r="S393" i="2" a="1"/>
  <c r="S393" i="2" s="1"/>
  <c r="R393" i="2"/>
  <c r="O393" i="2"/>
  <c r="S392" i="2" a="1"/>
  <c r="S392" i="2" s="1"/>
  <c r="R392" i="2"/>
  <c r="O392" i="2"/>
  <c r="S391" i="2" a="1"/>
  <c r="S391" i="2" s="1"/>
  <c r="R391" i="2"/>
  <c r="O391" i="2"/>
  <c r="U390" i="2"/>
  <c r="S390" i="2" a="1"/>
  <c r="S390" i="2" s="1"/>
  <c r="R390" i="2"/>
  <c r="T390" i="2" s="1"/>
  <c r="V390" i="2" s="1"/>
  <c r="W390" i="2" s="1"/>
  <c r="O390" i="2"/>
  <c r="S389" i="2" a="1"/>
  <c r="S389" i="2" s="1"/>
  <c r="R389" i="2"/>
  <c r="O389" i="2"/>
  <c r="S388" i="2" a="1"/>
  <c r="S388" i="2" s="1"/>
  <c r="U388" i="2" s="1"/>
  <c r="R388" i="2"/>
  <c r="O388" i="2"/>
  <c r="S387" i="2" a="1"/>
  <c r="S387" i="2" s="1"/>
  <c r="R387" i="2"/>
  <c r="O387" i="2"/>
  <c r="U386" i="2"/>
  <c r="S386" i="2" a="1"/>
  <c r="S386" i="2" s="1"/>
  <c r="R386" i="2"/>
  <c r="O386" i="2"/>
  <c r="S385" i="2" a="1"/>
  <c r="S385" i="2" s="1"/>
  <c r="R385" i="2"/>
  <c r="O385" i="2"/>
  <c r="S384" i="2" a="1"/>
  <c r="S384" i="2" s="1"/>
  <c r="U384" i="2" s="1"/>
  <c r="R384" i="2"/>
  <c r="O384" i="2"/>
  <c r="S383" i="2" a="1"/>
  <c r="S383" i="2" s="1"/>
  <c r="R383" i="2"/>
  <c r="O383" i="2"/>
  <c r="S382" i="2" a="1"/>
  <c r="S382" i="2" s="1"/>
  <c r="U382" i="2" s="1"/>
  <c r="R382" i="2"/>
  <c r="T382" i="2" s="1"/>
  <c r="O382" i="2"/>
  <c r="S381" i="2" a="1"/>
  <c r="S381" i="2" s="1"/>
  <c r="R381" i="2"/>
  <c r="O381" i="2"/>
  <c r="S380" i="2" a="1"/>
  <c r="S380" i="2" s="1"/>
  <c r="U380" i="2" s="1"/>
  <c r="R380" i="2"/>
  <c r="O380" i="2"/>
  <c r="S379" i="2" a="1"/>
  <c r="S379" i="2" s="1"/>
  <c r="R379" i="2"/>
  <c r="O379" i="2"/>
  <c r="S378" i="2" a="1"/>
  <c r="S378" i="2" s="1"/>
  <c r="U378" i="2" s="1"/>
  <c r="R378" i="2"/>
  <c r="O378" i="2"/>
  <c r="S377" i="2" a="1"/>
  <c r="S377" i="2" s="1"/>
  <c r="R377" i="2"/>
  <c r="O377" i="2"/>
  <c r="S376" i="2" a="1"/>
  <c r="S376" i="2" s="1"/>
  <c r="R376" i="2"/>
  <c r="O376" i="2"/>
  <c r="S375" i="2" a="1"/>
  <c r="S375" i="2" s="1"/>
  <c r="R375" i="2"/>
  <c r="O375" i="2"/>
  <c r="U374" i="2"/>
  <c r="S374" i="2" a="1"/>
  <c r="S374" i="2" s="1"/>
  <c r="R374" i="2"/>
  <c r="T374" i="2" s="1"/>
  <c r="O374" i="2"/>
  <c r="S373" i="2" a="1"/>
  <c r="S373" i="2" s="1"/>
  <c r="R373" i="2"/>
  <c r="O373" i="2"/>
  <c r="S372" i="2" a="1"/>
  <c r="S372" i="2" s="1"/>
  <c r="U372" i="2" s="1"/>
  <c r="R372" i="2"/>
  <c r="O372" i="2"/>
  <c r="S371" i="2" a="1"/>
  <c r="S371" i="2" s="1"/>
  <c r="R371" i="2"/>
  <c r="O371" i="2"/>
  <c r="S370" i="2" a="1"/>
  <c r="S370" i="2" s="1"/>
  <c r="U370" i="2" s="1"/>
  <c r="R370" i="2"/>
  <c r="T370" i="2" s="1"/>
  <c r="O370" i="2"/>
  <c r="S369" i="2" a="1"/>
  <c r="S369" i="2" s="1"/>
  <c r="U369" i="2" s="1"/>
  <c r="R369" i="2"/>
  <c r="O369" i="2"/>
  <c r="S368" i="2" a="1"/>
  <c r="S368" i="2" s="1"/>
  <c r="U368" i="2" s="1"/>
  <c r="R368" i="2"/>
  <c r="O368" i="2"/>
  <c r="S367" i="2" a="1"/>
  <c r="S367" i="2" s="1"/>
  <c r="R367" i="2"/>
  <c r="O367" i="2"/>
  <c r="S366" i="2" a="1"/>
  <c r="S366" i="2" s="1"/>
  <c r="U366" i="2" s="1"/>
  <c r="R366" i="2"/>
  <c r="O366" i="2"/>
  <c r="S365" i="2" a="1"/>
  <c r="S365" i="2" s="1"/>
  <c r="R365" i="2"/>
  <c r="O365" i="2"/>
  <c r="S364" i="2" a="1"/>
  <c r="S364" i="2" s="1"/>
  <c r="U364" i="2" s="1"/>
  <c r="R364" i="2"/>
  <c r="O364" i="2"/>
  <c r="S363" i="2" a="1"/>
  <c r="S363" i="2" s="1"/>
  <c r="R363" i="2"/>
  <c r="O363" i="2"/>
  <c r="S362" i="2" a="1"/>
  <c r="S362" i="2" s="1"/>
  <c r="U362" i="2" s="1"/>
  <c r="R362" i="2"/>
  <c r="O362" i="2"/>
  <c r="S361" i="2" a="1"/>
  <c r="S361" i="2" s="1"/>
  <c r="R361" i="2"/>
  <c r="O361" i="2"/>
  <c r="S360" i="2" a="1"/>
  <c r="S360" i="2" s="1"/>
  <c r="R360" i="2"/>
  <c r="O360" i="2"/>
  <c r="S359" i="2" a="1"/>
  <c r="S359" i="2" s="1"/>
  <c r="R359" i="2"/>
  <c r="O359" i="2"/>
  <c r="S358" i="2" a="1"/>
  <c r="S358" i="2" s="1"/>
  <c r="U358" i="2" s="1"/>
  <c r="R358" i="2"/>
  <c r="O358" i="2"/>
  <c r="S357" i="2" a="1"/>
  <c r="S357" i="2" s="1"/>
  <c r="R357" i="2"/>
  <c r="O357" i="2"/>
  <c r="S356" i="2" a="1"/>
  <c r="S356" i="2" s="1"/>
  <c r="U356" i="2" s="1"/>
  <c r="R356" i="2"/>
  <c r="O356" i="2"/>
  <c r="S355" i="2" a="1"/>
  <c r="S355" i="2" s="1"/>
  <c r="U355" i="2" s="1"/>
  <c r="R355" i="2"/>
  <c r="O355" i="2"/>
  <c r="S354" i="2" a="1"/>
  <c r="S354" i="2" s="1"/>
  <c r="R354" i="2"/>
  <c r="O354" i="2"/>
  <c r="S353" i="2" a="1"/>
  <c r="S353" i="2" s="1"/>
  <c r="U353" i="2" s="1"/>
  <c r="R353" i="2"/>
  <c r="O353" i="2"/>
  <c r="S352" i="2" a="1"/>
  <c r="S352" i="2" s="1"/>
  <c r="R352" i="2"/>
  <c r="O352" i="2"/>
  <c r="S351" i="2" a="1"/>
  <c r="S351" i="2" s="1"/>
  <c r="R351" i="2"/>
  <c r="O351" i="2"/>
  <c r="S350" i="2" a="1"/>
  <c r="S350" i="2" s="1"/>
  <c r="R350" i="2"/>
  <c r="O350" i="2"/>
  <c r="S349" i="2" a="1"/>
  <c r="S349" i="2" s="1"/>
  <c r="U349" i="2" s="1"/>
  <c r="R349" i="2"/>
  <c r="O349" i="2"/>
  <c r="S348" i="2" a="1"/>
  <c r="S348" i="2" s="1"/>
  <c r="R348" i="2"/>
  <c r="O348" i="2"/>
  <c r="S347" i="2" a="1"/>
  <c r="S347" i="2" s="1"/>
  <c r="U347" i="2" s="1"/>
  <c r="R347" i="2"/>
  <c r="O347" i="2"/>
  <c r="S346" i="2" a="1"/>
  <c r="S346" i="2" s="1"/>
  <c r="R346" i="2"/>
  <c r="O346" i="2"/>
  <c r="S345" i="2" a="1"/>
  <c r="S345" i="2" s="1"/>
  <c r="U345" i="2" s="1"/>
  <c r="R345" i="2"/>
  <c r="T345" i="2" s="1"/>
  <c r="V345" i="2" s="1"/>
  <c r="W345" i="2" s="1"/>
  <c r="Y345" i="2" s="1"/>
  <c r="Z345" i="2" s="1"/>
  <c r="O345" i="2"/>
  <c r="S344" i="2" a="1"/>
  <c r="S344" i="2" s="1"/>
  <c r="R344" i="2"/>
  <c r="O344" i="2"/>
  <c r="S343" i="2" a="1"/>
  <c r="S343" i="2" s="1"/>
  <c r="U343" i="2" s="1"/>
  <c r="R343" i="2"/>
  <c r="O343" i="2"/>
  <c r="S342" i="2" a="1"/>
  <c r="S342" i="2" s="1"/>
  <c r="R342" i="2"/>
  <c r="O342" i="2"/>
  <c r="S341" i="2" a="1"/>
  <c r="S341" i="2" s="1"/>
  <c r="R341" i="2"/>
  <c r="O341" i="2"/>
  <c r="S340" i="2" a="1"/>
  <c r="S340" i="2" s="1"/>
  <c r="R340" i="2"/>
  <c r="O340" i="2"/>
  <c r="S339" i="2" a="1"/>
  <c r="S339" i="2" s="1"/>
  <c r="U339" i="2" s="1"/>
  <c r="R339" i="2"/>
  <c r="O339" i="2"/>
  <c r="S338" i="2" a="1"/>
  <c r="S338" i="2" s="1"/>
  <c r="R338" i="2"/>
  <c r="O338" i="2"/>
  <c r="S337" i="2" a="1"/>
  <c r="S337" i="2" s="1"/>
  <c r="R337" i="2"/>
  <c r="O337" i="2"/>
  <c r="S336" i="2" a="1"/>
  <c r="S336" i="2" s="1"/>
  <c r="R336" i="2"/>
  <c r="O336" i="2"/>
  <c r="S335" i="2" a="1"/>
  <c r="S335" i="2" s="1"/>
  <c r="U335" i="2" s="1"/>
  <c r="R335" i="2"/>
  <c r="O335" i="2"/>
  <c r="S334" i="2" a="1"/>
  <c r="S334" i="2" s="1"/>
  <c r="R334" i="2"/>
  <c r="O334" i="2"/>
  <c r="S333" i="2" a="1"/>
  <c r="S333" i="2" s="1"/>
  <c r="U333" i="2" s="1"/>
  <c r="R333" i="2"/>
  <c r="O333" i="2"/>
  <c r="S332" i="2" a="1"/>
  <c r="S332" i="2" s="1"/>
  <c r="R332" i="2"/>
  <c r="O332" i="2"/>
  <c r="S331" i="2" a="1"/>
  <c r="S331" i="2" s="1"/>
  <c r="U331" i="2" s="1"/>
  <c r="R331" i="2"/>
  <c r="O331" i="2"/>
  <c r="S330" i="2" a="1"/>
  <c r="S330" i="2" s="1"/>
  <c r="R330" i="2"/>
  <c r="O330" i="2"/>
  <c r="S329" i="2" a="1"/>
  <c r="S329" i="2" s="1"/>
  <c r="R329" i="2"/>
  <c r="O329" i="2"/>
  <c r="S328" i="2" a="1"/>
  <c r="S328" i="2" s="1"/>
  <c r="R328" i="2"/>
  <c r="O328" i="2"/>
  <c r="S327" i="2" a="1"/>
  <c r="S327" i="2" s="1"/>
  <c r="U327" i="2" s="1"/>
  <c r="R327" i="2"/>
  <c r="O327" i="2"/>
  <c r="S326" i="2"/>
  <c r="S326" i="2" a="1"/>
  <c r="R326" i="2"/>
  <c r="O326" i="2"/>
  <c r="S325" i="2" a="1"/>
  <c r="S325" i="2" s="1"/>
  <c r="R325" i="2"/>
  <c r="O325" i="2"/>
  <c r="S324" i="2" a="1"/>
  <c r="S324" i="2" s="1"/>
  <c r="R324" i="2"/>
  <c r="O324" i="2"/>
  <c r="S323" i="2" a="1"/>
  <c r="S323" i="2" s="1"/>
  <c r="U323" i="2" s="1"/>
  <c r="R323" i="2"/>
  <c r="T323" i="2" s="1"/>
  <c r="V323" i="2" s="1"/>
  <c r="W323" i="2" s="1"/>
  <c r="O323" i="2"/>
  <c r="S322" i="2" a="1"/>
  <c r="S322" i="2" s="1"/>
  <c r="R322" i="2"/>
  <c r="O322" i="2"/>
  <c r="S321" i="2" a="1"/>
  <c r="S321" i="2" s="1"/>
  <c r="U321" i="2" s="1"/>
  <c r="R321" i="2"/>
  <c r="T321" i="2" s="1"/>
  <c r="O321" i="2"/>
  <c r="S320" i="2" a="1"/>
  <c r="S320" i="2" s="1"/>
  <c r="R320" i="2"/>
  <c r="O320" i="2"/>
  <c r="S319" i="2" a="1"/>
  <c r="S319" i="2" s="1"/>
  <c r="U319" i="2" s="1"/>
  <c r="R319" i="2"/>
  <c r="O319" i="2"/>
  <c r="S318" i="2" a="1"/>
  <c r="S318" i="2" s="1"/>
  <c r="R318" i="2"/>
  <c r="O318" i="2"/>
  <c r="S317" i="2" a="1"/>
  <c r="S317" i="2" s="1"/>
  <c r="U317" i="2" s="1"/>
  <c r="R317" i="2"/>
  <c r="O317" i="2"/>
  <c r="S316" i="2" a="1"/>
  <c r="S316" i="2" s="1"/>
  <c r="R316" i="2"/>
  <c r="O316" i="2"/>
  <c r="S315" i="2" a="1"/>
  <c r="S315" i="2" s="1"/>
  <c r="U315" i="2" s="1"/>
  <c r="R315" i="2"/>
  <c r="T315" i="2" s="1"/>
  <c r="V315" i="2" s="1"/>
  <c r="W315" i="2" s="1"/>
  <c r="O315" i="2"/>
  <c r="S314" i="2"/>
  <c r="S314" i="2" a="1"/>
  <c r="R314" i="2"/>
  <c r="O314" i="2"/>
  <c r="S313" i="2" a="1"/>
  <c r="S313" i="2" s="1"/>
  <c r="R313" i="2"/>
  <c r="O313" i="2"/>
  <c r="S312" i="2" a="1"/>
  <c r="S312" i="2" s="1"/>
  <c r="R312" i="2"/>
  <c r="O312" i="2"/>
  <c r="S311" i="2" a="1"/>
  <c r="S311" i="2" s="1"/>
  <c r="U311" i="2" s="1"/>
  <c r="R311" i="2"/>
  <c r="O311" i="2"/>
  <c r="S310" i="2" a="1"/>
  <c r="S310" i="2" s="1"/>
  <c r="R310" i="2"/>
  <c r="O310" i="2"/>
  <c r="S309" i="2" a="1"/>
  <c r="S309" i="2" s="1"/>
  <c r="R309" i="2"/>
  <c r="O309" i="2"/>
  <c r="S308" i="2" a="1"/>
  <c r="S308" i="2" s="1"/>
  <c r="R308" i="2"/>
  <c r="O308" i="2"/>
  <c r="S307" i="2" a="1"/>
  <c r="S307" i="2" s="1"/>
  <c r="U307" i="2" s="1"/>
  <c r="R307" i="2"/>
  <c r="T307" i="2" s="1"/>
  <c r="V307" i="2" s="1"/>
  <c r="W307" i="2" s="1"/>
  <c r="O307" i="2"/>
  <c r="S306" i="2"/>
  <c r="S306" i="2" a="1"/>
  <c r="R306" i="2"/>
  <c r="O306" i="2"/>
  <c r="S305" i="2" a="1"/>
  <c r="S305" i="2" s="1"/>
  <c r="U305" i="2" s="1"/>
  <c r="R305" i="2"/>
  <c r="O305" i="2"/>
  <c r="S304" i="2" a="1"/>
  <c r="S304" i="2" s="1"/>
  <c r="R304" i="2"/>
  <c r="O304" i="2"/>
  <c r="S303" i="2" a="1"/>
  <c r="S303" i="2" s="1"/>
  <c r="U303" i="2" s="1"/>
  <c r="R303" i="2"/>
  <c r="O303" i="2"/>
  <c r="S302" i="2" a="1"/>
  <c r="S302" i="2" s="1"/>
  <c r="R302" i="2"/>
  <c r="O302" i="2"/>
  <c r="S301" i="2" a="1"/>
  <c r="S301" i="2" s="1"/>
  <c r="R301" i="2"/>
  <c r="O301" i="2"/>
  <c r="S300" i="2" a="1"/>
  <c r="S300" i="2" s="1"/>
  <c r="R300" i="2"/>
  <c r="O300" i="2"/>
  <c r="S299" i="2" a="1"/>
  <c r="S299" i="2" s="1"/>
  <c r="U299" i="2" s="1"/>
  <c r="R299" i="2"/>
  <c r="O299" i="2"/>
  <c r="S298" i="2" a="1"/>
  <c r="S298" i="2" s="1"/>
  <c r="R298" i="2"/>
  <c r="O298" i="2"/>
  <c r="S297" i="2" a="1"/>
  <c r="S297" i="2" s="1"/>
  <c r="R297" i="2"/>
  <c r="O297" i="2"/>
  <c r="S296" i="2" a="1"/>
  <c r="S296" i="2" s="1"/>
  <c r="R296" i="2"/>
  <c r="O296" i="2"/>
  <c r="S295" i="2" a="1"/>
  <c r="S295" i="2" s="1"/>
  <c r="U295" i="2" s="1"/>
  <c r="R295" i="2"/>
  <c r="O295" i="2"/>
  <c r="S294" i="2"/>
  <c r="S294" i="2" a="1"/>
  <c r="R294" i="2"/>
  <c r="O294" i="2"/>
  <c r="S293" i="2" a="1"/>
  <c r="S293" i="2" s="1"/>
  <c r="R293" i="2"/>
  <c r="O293" i="2"/>
  <c r="S292" i="2" a="1"/>
  <c r="S292" i="2" s="1"/>
  <c r="R292" i="2"/>
  <c r="O292" i="2"/>
  <c r="S291" i="2" a="1"/>
  <c r="S291" i="2" s="1"/>
  <c r="U291" i="2" s="1"/>
  <c r="R291" i="2"/>
  <c r="T291" i="2" s="1"/>
  <c r="V291" i="2" s="1"/>
  <c r="W291" i="2" s="1"/>
  <c r="O291" i="2"/>
  <c r="S290" i="2" a="1"/>
  <c r="S290" i="2" s="1"/>
  <c r="R290" i="2"/>
  <c r="O290" i="2"/>
  <c r="S289" i="2" a="1"/>
  <c r="S289" i="2" s="1"/>
  <c r="U289" i="2" s="1"/>
  <c r="R289" i="2"/>
  <c r="O289" i="2"/>
  <c r="S288" i="2" a="1"/>
  <c r="S288" i="2" s="1"/>
  <c r="R288" i="2"/>
  <c r="O288" i="2"/>
  <c r="S287" i="2" a="1"/>
  <c r="S287" i="2" s="1"/>
  <c r="U287" i="2" s="1"/>
  <c r="R287" i="2"/>
  <c r="O287" i="2"/>
  <c r="S286" i="2" a="1"/>
  <c r="S286" i="2" s="1"/>
  <c r="R286" i="2"/>
  <c r="O286" i="2"/>
  <c r="S285" i="2" a="1"/>
  <c r="S285" i="2" s="1"/>
  <c r="R285" i="2"/>
  <c r="O285" i="2"/>
  <c r="S284" i="2" a="1"/>
  <c r="S284" i="2" s="1"/>
  <c r="U284" i="2" s="1"/>
  <c r="R284" i="2"/>
  <c r="O284" i="2"/>
  <c r="S283" i="2" a="1"/>
  <c r="S283" i="2" s="1"/>
  <c r="U283" i="2" s="1"/>
  <c r="R283" i="2"/>
  <c r="T283" i="2" s="1"/>
  <c r="V283" i="2" s="1"/>
  <c r="W283" i="2" s="1"/>
  <c r="O283" i="2"/>
  <c r="S282" i="2" a="1"/>
  <c r="S282" i="2" s="1"/>
  <c r="R282" i="2"/>
  <c r="O282" i="2"/>
  <c r="S281" i="2" a="1"/>
  <c r="S281" i="2" s="1"/>
  <c r="U281" i="2" s="1"/>
  <c r="R281" i="2"/>
  <c r="T281" i="2" s="1"/>
  <c r="O281" i="2"/>
  <c r="S280" i="2" a="1"/>
  <c r="S280" i="2" s="1"/>
  <c r="U280" i="2" s="1"/>
  <c r="R280" i="2"/>
  <c r="O280" i="2"/>
  <c r="S279" i="2" a="1"/>
  <c r="S279" i="2" s="1"/>
  <c r="U279" i="2" s="1"/>
  <c r="R279" i="2"/>
  <c r="O279" i="2"/>
  <c r="S278" i="2" a="1"/>
  <c r="S278" i="2" s="1"/>
  <c r="R278" i="2"/>
  <c r="O278" i="2"/>
  <c r="U277" i="2"/>
  <c r="S277" i="2" a="1"/>
  <c r="S277" i="2" s="1"/>
  <c r="R277" i="2"/>
  <c r="O277" i="2"/>
  <c r="S276" i="2" a="1"/>
  <c r="S276" i="2" s="1"/>
  <c r="R276" i="2"/>
  <c r="O276" i="2"/>
  <c r="S275" i="2" a="1"/>
  <c r="S275" i="2" s="1"/>
  <c r="R275" i="2"/>
  <c r="O275" i="2"/>
  <c r="S274" i="2" a="1"/>
  <c r="S274" i="2" s="1"/>
  <c r="R274" i="2"/>
  <c r="O274" i="2"/>
  <c r="S273" i="2" a="1"/>
  <c r="S273" i="2" s="1"/>
  <c r="R273" i="2"/>
  <c r="O273" i="2"/>
  <c r="S272" i="2" a="1"/>
  <c r="S272" i="2" s="1"/>
  <c r="R272" i="2"/>
  <c r="O272" i="2"/>
  <c r="S271" i="2" a="1"/>
  <c r="S271" i="2" s="1"/>
  <c r="R271" i="2"/>
  <c r="O271" i="2"/>
  <c r="S270" i="2" a="1"/>
  <c r="S270" i="2" s="1"/>
  <c r="R270" i="2"/>
  <c r="O270" i="2"/>
  <c r="S269" i="2" a="1"/>
  <c r="S269" i="2" s="1"/>
  <c r="R269" i="2"/>
  <c r="O269" i="2"/>
  <c r="S268" i="2" a="1"/>
  <c r="S268" i="2" s="1"/>
  <c r="R268" i="2"/>
  <c r="O268" i="2"/>
  <c r="S267" i="2" a="1"/>
  <c r="S267" i="2" s="1"/>
  <c r="R267" i="2"/>
  <c r="O267" i="2"/>
  <c r="S266" i="2" a="1"/>
  <c r="S266" i="2" s="1"/>
  <c r="R266" i="2"/>
  <c r="O266" i="2"/>
  <c r="S265" i="2" a="1"/>
  <c r="S265" i="2" s="1"/>
  <c r="R265" i="2"/>
  <c r="O265" i="2"/>
  <c r="S264" i="2" a="1"/>
  <c r="S264" i="2" s="1"/>
  <c r="R264" i="2"/>
  <c r="O264" i="2"/>
  <c r="S263" i="2" a="1"/>
  <c r="S263" i="2" s="1"/>
  <c r="R263" i="2"/>
  <c r="O263" i="2"/>
  <c r="S262" i="2" a="1"/>
  <c r="S262" i="2" s="1"/>
  <c r="R262" i="2"/>
  <c r="O262" i="2"/>
  <c r="S261" i="2" a="1"/>
  <c r="S261" i="2" s="1"/>
  <c r="R261" i="2"/>
  <c r="O261" i="2"/>
  <c r="S260" i="2" a="1"/>
  <c r="S260" i="2" s="1"/>
  <c r="R260" i="2"/>
  <c r="O260" i="2"/>
  <c r="S259" i="2" a="1"/>
  <c r="S259" i="2" s="1"/>
  <c r="R259" i="2"/>
  <c r="O259" i="2"/>
  <c r="S258" i="2" a="1"/>
  <c r="S258" i="2" s="1"/>
  <c r="R258" i="2"/>
  <c r="O258" i="2"/>
  <c r="S257" i="2" a="1"/>
  <c r="S257" i="2" s="1"/>
  <c r="R257" i="2"/>
  <c r="O257" i="2"/>
  <c r="S256" i="2" a="1"/>
  <c r="S256" i="2" s="1"/>
  <c r="R256" i="2"/>
  <c r="O256" i="2"/>
  <c r="S255" i="2" a="1"/>
  <c r="S255" i="2" s="1"/>
  <c r="U255" i="2" s="1"/>
  <c r="R255" i="2"/>
  <c r="T255" i="2" s="1"/>
  <c r="V255" i="2" s="1"/>
  <c r="W255" i="2" s="1"/>
  <c r="O255" i="2"/>
  <c r="S254" i="2"/>
  <c r="U254" i="2" s="1"/>
  <c r="S254" i="2" a="1"/>
  <c r="R254" i="2"/>
  <c r="O254" i="2"/>
  <c r="S253" i="2" a="1"/>
  <c r="S253" i="2" s="1"/>
  <c r="R253" i="2"/>
  <c r="O253" i="2"/>
  <c r="S252" i="2" a="1"/>
  <c r="S252" i="2" s="1"/>
  <c r="U252" i="2" s="1"/>
  <c r="R252" i="2"/>
  <c r="T252" i="2" s="1"/>
  <c r="O252" i="2"/>
  <c r="S251" i="2"/>
  <c r="U251" i="2" s="1"/>
  <c r="S251" i="2" a="1"/>
  <c r="R251" i="2"/>
  <c r="O251" i="2"/>
  <c r="S250" i="2" a="1"/>
  <c r="S250" i="2" s="1"/>
  <c r="U250" i="2" s="1"/>
  <c r="R250" i="2"/>
  <c r="O250" i="2"/>
  <c r="S249" i="2" a="1"/>
  <c r="S249" i="2" s="1"/>
  <c r="R249" i="2"/>
  <c r="O249" i="2"/>
  <c r="S248" i="2" a="1"/>
  <c r="S248" i="2" s="1"/>
  <c r="U248" i="2" s="1"/>
  <c r="R248" i="2"/>
  <c r="O248" i="2"/>
  <c r="S247" i="2" a="1"/>
  <c r="S247" i="2" s="1"/>
  <c r="U247" i="2" s="1"/>
  <c r="R247" i="2"/>
  <c r="O247" i="2"/>
  <c r="S246" i="2" a="1"/>
  <c r="S246" i="2" s="1"/>
  <c r="U246" i="2" s="1"/>
  <c r="R246" i="2"/>
  <c r="O246" i="2"/>
  <c r="S245" i="2" a="1"/>
  <c r="S245" i="2" s="1"/>
  <c r="R245" i="2"/>
  <c r="O245" i="2"/>
  <c r="S244" i="2" a="1"/>
  <c r="S244" i="2" s="1"/>
  <c r="U244" i="2" s="1"/>
  <c r="R244" i="2"/>
  <c r="T244" i="2" s="1"/>
  <c r="O244" i="2"/>
  <c r="S243" i="2" a="1"/>
  <c r="S243" i="2" s="1"/>
  <c r="U243" i="2" s="1"/>
  <c r="R243" i="2"/>
  <c r="T243" i="2" s="1"/>
  <c r="V243" i="2" s="1"/>
  <c r="W243" i="2" s="1"/>
  <c r="O243" i="2"/>
  <c r="S242" i="2" a="1"/>
  <c r="S242" i="2" s="1"/>
  <c r="U242" i="2" s="1"/>
  <c r="R242" i="2"/>
  <c r="O242" i="2"/>
  <c r="S241" i="2" a="1"/>
  <c r="S241" i="2" s="1"/>
  <c r="R241" i="2"/>
  <c r="O241" i="2"/>
  <c r="U240" i="2"/>
  <c r="S240" i="2" a="1"/>
  <c r="S240" i="2" s="1"/>
  <c r="R240" i="2"/>
  <c r="T240" i="2" s="1"/>
  <c r="O240" i="2"/>
  <c r="S239" i="2" a="1"/>
  <c r="S239" i="2" s="1"/>
  <c r="U239" i="2" s="1"/>
  <c r="R239" i="2"/>
  <c r="O239" i="2"/>
  <c r="S238" i="2" a="1"/>
  <c r="S238" i="2" s="1"/>
  <c r="U238" i="2" s="1"/>
  <c r="R238" i="2"/>
  <c r="O238" i="2"/>
  <c r="S237" i="2" a="1"/>
  <c r="S237" i="2" s="1"/>
  <c r="R237" i="2"/>
  <c r="O237" i="2"/>
  <c r="U236" i="2"/>
  <c r="S236" i="2" a="1"/>
  <c r="S236" i="2" s="1"/>
  <c r="R236" i="2"/>
  <c r="O236" i="2"/>
  <c r="S235" i="2" a="1"/>
  <c r="S235" i="2" s="1"/>
  <c r="U235" i="2" s="1"/>
  <c r="R235" i="2"/>
  <c r="O235" i="2"/>
  <c r="S234" i="2" a="1"/>
  <c r="S234" i="2" s="1"/>
  <c r="U234" i="2" s="1"/>
  <c r="R234" i="2"/>
  <c r="O234" i="2"/>
  <c r="S233" i="2" a="1"/>
  <c r="S233" i="2" s="1"/>
  <c r="R233" i="2"/>
  <c r="O233" i="2"/>
  <c r="S232" i="2" a="1"/>
  <c r="S232" i="2" s="1"/>
  <c r="U232" i="2" s="1"/>
  <c r="R232" i="2"/>
  <c r="T232" i="2" s="1"/>
  <c r="O232" i="2"/>
  <c r="S231" i="2" a="1"/>
  <c r="S231" i="2" s="1"/>
  <c r="R231" i="2"/>
  <c r="O231" i="2"/>
  <c r="S230" i="2" a="1"/>
  <c r="S230" i="2" s="1"/>
  <c r="U230" i="2" s="1"/>
  <c r="R230" i="2"/>
  <c r="O230" i="2"/>
  <c r="S229" i="2" a="1"/>
  <c r="S229" i="2" s="1"/>
  <c r="R229" i="2"/>
  <c r="O229" i="2"/>
  <c r="S228" i="2" a="1"/>
  <c r="S228" i="2" s="1"/>
  <c r="U228" i="2" s="1"/>
  <c r="R228" i="2"/>
  <c r="O228" i="2"/>
  <c r="S227" i="2" a="1"/>
  <c r="S227" i="2" s="1"/>
  <c r="R227" i="2"/>
  <c r="O227" i="2"/>
  <c r="S226" i="2" a="1"/>
  <c r="S226" i="2" s="1"/>
  <c r="U226" i="2" s="1"/>
  <c r="R226" i="2"/>
  <c r="O226" i="2"/>
  <c r="S225" i="2" a="1"/>
  <c r="S225" i="2" s="1"/>
  <c r="R225" i="2"/>
  <c r="O225" i="2"/>
  <c r="U224" i="2"/>
  <c r="S224" i="2" a="1"/>
  <c r="S224" i="2" s="1"/>
  <c r="R224" i="2"/>
  <c r="O224" i="2"/>
  <c r="S223" i="2" a="1"/>
  <c r="S223" i="2" s="1"/>
  <c r="R223" i="2"/>
  <c r="O223" i="2"/>
  <c r="S222" i="2"/>
  <c r="U222" i="2" s="1"/>
  <c r="S222" i="2" a="1"/>
  <c r="R222" i="2"/>
  <c r="O222" i="2"/>
  <c r="S221" i="2" a="1"/>
  <c r="S221" i="2" s="1"/>
  <c r="R221" i="2"/>
  <c r="O221" i="2"/>
  <c r="S220" i="2" a="1"/>
  <c r="S220" i="2" s="1"/>
  <c r="U220" i="2" s="1"/>
  <c r="R220" i="2"/>
  <c r="T220" i="2" s="1"/>
  <c r="O220" i="2"/>
  <c r="S219" i="2" a="1"/>
  <c r="S219" i="2" s="1"/>
  <c r="R219" i="2"/>
  <c r="O219" i="2"/>
  <c r="S218" i="2" a="1"/>
  <c r="S218" i="2" s="1"/>
  <c r="U218" i="2" s="1"/>
  <c r="R218" i="2"/>
  <c r="O218" i="2"/>
  <c r="S217" i="2" a="1"/>
  <c r="S217" i="2" s="1"/>
  <c r="R217" i="2"/>
  <c r="O217" i="2"/>
  <c r="S216" i="2" a="1"/>
  <c r="S216" i="2" s="1"/>
  <c r="R216" i="2"/>
  <c r="O216" i="2"/>
  <c r="S215" i="2" a="1"/>
  <c r="S215" i="2" s="1"/>
  <c r="U215" i="2" s="1"/>
  <c r="R215" i="2"/>
  <c r="O215" i="2"/>
  <c r="S214" i="2" a="1"/>
  <c r="S214" i="2" s="1"/>
  <c r="U214" i="2" s="1"/>
  <c r="R214" i="2"/>
  <c r="O214" i="2"/>
  <c r="S213" i="2" a="1"/>
  <c r="S213" i="2" s="1"/>
  <c r="T213" i="2" s="1"/>
  <c r="R213" i="2"/>
  <c r="O213" i="2"/>
  <c r="U212" i="2"/>
  <c r="S212" i="2" a="1"/>
  <c r="S212" i="2" s="1"/>
  <c r="R212" i="2"/>
  <c r="T212" i="2" s="1"/>
  <c r="V212" i="2" s="1"/>
  <c r="W212" i="2" s="1"/>
  <c r="O212" i="2"/>
  <c r="S211" i="2"/>
  <c r="U211" i="2" s="1"/>
  <c r="S211" i="2" a="1"/>
  <c r="R211" i="2"/>
  <c r="T211" i="2" s="1"/>
  <c r="V211" i="2" s="1"/>
  <c r="W211" i="2" s="1"/>
  <c r="O211" i="2"/>
  <c r="S210" i="2" a="1"/>
  <c r="S210" i="2" s="1"/>
  <c r="U210" i="2" s="1"/>
  <c r="R210" i="2"/>
  <c r="O210" i="2"/>
  <c r="S209" i="2" a="1"/>
  <c r="S209" i="2" s="1"/>
  <c r="R209" i="2"/>
  <c r="O209" i="2"/>
  <c r="S208" i="2" a="1"/>
  <c r="S208" i="2" s="1"/>
  <c r="R208" i="2"/>
  <c r="O208" i="2"/>
  <c r="S207" i="2"/>
  <c r="S207" i="2" a="1"/>
  <c r="R207" i="2"/>
  <c r="O207" i="2"/>
  <c r="S206" i="2" a="1"/>
  <c r="S206" i="2" s="1"/>
  <c r="R206" i="2"/>
  <c r="O206" i="2"/>
  <c r="S205" i="2" a="1"/>
  <c r="S205" i="2" s="1"/>
  <c r="R205" i="2"/>
  <c r="O205" i="2"/>
  <c r="S204" i="2" a="1"/>
  <c r="S204" i="2" s="1"/>
  <c r="R204" i="2"/>
  <c r="O204" i="2"/>
  <c r="S203" i="2" a="1"/>
  <c r="S203" i="2" s="1"/>
  <c r="R203" i="2"/>
  <c r="O203" i="2"/>
  <c r="S202" i="2" a="1"/>
  <c r="S202" i="2" s="1"/>
  <c r="R202" i="2"/>
  <c r="O202" i="2"/>
  <c r="S201" i="2" a="1"/>
  <c r="S201" i="2" s="1"/>
  <c r="R201" i="2"/>
  <c r="O201" i="2"/>
  <c r="S200" i="2" a="1"/>
  <c r="S200" i="2" s="1"/>
  <c r="U200" i="2" s="1"/>
  <c r="R200" i="2"/>
  <c r="O200" i="2"/>
  <c r="S199" i="2" a="1"/>
  <c r="S199" i="2" s="1"/>
  <c r="R199" i="2"/>
  <c r="O199" i="2"/>
  <c r="S198" i="2" a="1"/>
  <c r="S198" i="2" s="1"/>
  <c r="R198" i="2"/>
  <c r="O198" i="2"/>
  <c r="S197" i="2" a="1"/>
  <c r="S197" i="2" s="1"/>
  <c r="R197" i="2"/>
  <c r="O197" i="2"/>
  <c r="S196" i="2" a="1"/>
  <c r="S196" i="2" s="1"/>
  <c r="U196" i="2" s="1"/>
  <c r="R196" i="2"/>
  <c r="O196" i="2"/>
  <c r="S195" i="2" a="1"/>
  <c r="S195" i="2" s="1"/>
  <c r="R195" i="2"/>
  <c r="O195" i="2"/>
  <c r="S194" i="2" a="1"/>
  <c r="S194" i="2" s="1"/>
  <c r="R194" i="2"/>
  <c r="O194" i="2"/>
  <c r="S193" i="2" a="1"/>
  <c r="S193" i="2" s="1"/>
  <c r="R193" i="2"/>
  <c r="O193" i="2"/>
  <c r="S192" i="2" a="1"/>
  <c r="S192" i="2" s="1"/>
  <c r="U192" i="2" s="1"/>
  <c r="R192" i="2"/>
  <c r="O192" i="2"/>
  <c r="S191" i="2" a="1"/>
  <c r="S191" i="2" s="1"/>
  <c r="R191" i="2"/>
  <c r="O191" i="2"/>
  <c r="S190" i="2" a="1"/>
  <c r="S190" i="2" s="1"/>
  <c r="R190" i="2"/>
  <c r="O190" i="2"/>
  <c r="S189" i="2" a="1"/>
  <c r="S189" i="2" s="1"/>
  <c r="R189" i="2"/>
  <c r="O189" i="2"/>
  <c r="S188" i="2" a="1"/>
  <c r="S188" i="2" s="1"/>
  <c r="U188" i="2" s="1"/>
  <c r="R188" i="2"/>
  <c r="O188" i="2"/>
  <c r="S187" i="2"/>
  <c r="S187" i="2" a="1"/>
  <c r="R187" i="2"/>
  <c r="O187" i="2"/>
  <c r="S186" i="2" a="1"/>
  <c r="S186" i="2" s="1"/>
  <c r="U186" i="2" s="1"/>
  <c r="R186" i="2"/>
  <c r="O186" i="2"/>
  <c r="S185" i="2" a="1"/>
  <c r="S185" i="2" s="1"/>
  <c r="R185" i="2"/>
  <c r="O185" i="2"/>
  <c r="S184" i="2" a="1"/>
  <c r="S184" i="2" s="1"/>
  <c r="U184" i="2" s="1"/>
  <c r="R184" i="2"/>
  <c r="T184" i="2" s="1"/>
  <c r="V184" i="2" s="1"/>
  <c r="W184" i="2" s="1"/>
  <c r="O184" i="2"/>
  <c r="S183" i="2" a="1"/>
  <c r="S183" i="2" s="1"/>
  <c r="R183" i="2"/>
  <c r="O183" i="2"/>
  <c r="S182" i="2" a="1"/>
  <c r="S182" i="2" s="1"/>
  <c r="U182" i="2" s="1"/>
  <c r="R182" i="2"/>
  <c r="O182" i="2"/>
  <c r="S181" i="2" a="1"/>
  <c r="S181" i="2" s="1"/>
  <c r="R181" i="2"/>
  <c r="O181" i="2"/>
  <c r="S180" i="2" a="1"/>
  <c r="S180" i="2" s="1"/>
  <c r="U180" i="2" s="1"/>
  <c r="R180" i="2"/>
  <c r="O180" i="2"/>
  <c r="S179" i="2" a="1"/>
  <c r="S179" i="2" s="1"/>
  <c r="R179" i="2"/>
  <c r="O179" i="2"/>
  <c r="S178" i="2" a="1"/>
  <c r="S178" i="2" s="1"/>
  <c r="U178" i="2" s="1"/>
  <c r="R178" i="2"/>
  <c r="O178" i="2"/>
  <c r="S177" i="2" a="1"/>
  <c r="S177" i="2" s="1"/>
  <c r="R177" i="2"/>
  <c r="O177" i="2"/>
  <c r="S176" i="2" a="1"/>
  <c r="S176" i="2" s="1"/>
  <c r="U176" i="2" s="1"/>
  <c r="R176" i="2"/>
  <c r="T176" i="2" s="1"/>
  <c r="V176" i="2" s="1"/>
  <c r="W176" i="2" s="1"/>
  <c r="X176" i="2" s="1" a="1"/>
  <c r="X176" i="2" s="1"/>
  <c r="O176" i="2"/>
  <c r="S175" i="2" a="1"/>
  <c r="S175" i="2" s="1"/>
  <c r="U175" i="2" s="1"/>
  <c r="R175" i="2"/>
  <c r="O175" i="2"/>
  <c r="S174" i="2" a="1"/>
  <c r="S174" i="2" s="1"/>
  <c r="R174" i="2"/>
  <c r="O174" i="2"/>
  <c r="S173" i="2" a="1"/>
  <c r="S173" i="2" s="1"/>
  <c r="R173" i="2"/>
  <c r="O173" i="2"/>
  <c r="S172" i="2" a="1"/>
  <c r="S172" i="2" s="1"/>
  <c r="U172" i="2" s="1"/>
  <c r="R172" i="2"/>
  <c r="O172" i="2"/>
  <c r="S171" i="2" a="1"/>
  <c r="S171" i="2" s="1"/>
  <c r="R171" i="2"/>
  <c r="O171" i="2"/>
  <c r="S170" i="2" a="1"/>
  <c r="S170" i="2" s="1"/>
  <c r="R170" i="2"/>
  <c r="O170" i="2"/>
  <c r="S169" i="2" a="1"/>
  <c r="S169" i="2" s="1"/>
  <c r="R169" i="2"/>
  <c r="O169" i="2"/>
  <c r="S168" i="2" a="1"/>
  <c r="S168" i="2" s="1"/>
  <c r="U168" i="2" s="1"/>
  <c r="R168" i="2"/>
  <c r="O168" i="2"/>
  <c r="S167" i="2" a="1"/>
  <c r="S167" i="2" s="1"/>
  <c r="R167" i="2"/>
  <c r="O167" i="2"/>
  <c r="S166" i="2" a="1"/>
  <c r="S166" i="2" s="1"/>
  <c r="U166" i="2" s="1"/>
  <c r="R166" i="2"/>
  <c r="T166" i="2" s="1"/>
  <c r="O166" i="2"/>
  <c r="S165" i="2" a="1"/>
  <c r="S165" i="2" s="1"/>
  <c r="R165" i="2"/>
  <c r="O165" i="2"/>
  <c r="S164" i="2" a="1"/>
  <c r="S164" i="2" s="1"/>
  <c r="U164" i="2" s="1"/>
  <c r="R164" i="2"/>
  <c r="O164" i="2"/>
  <c r="S163" i="2"/>
  <c r="S163" i="2" a="1"/>
  <c r="R163" i="2"/>
  <c r="O163" i="2"/>
  <c r="S162" i="2" a="1"/>
  <c r="S162" i="2" s="1"/>
  <c r="T162" i="2" s="1"/>
  <c r="R162" i="2"/>
  <c r="O162" i="2"/>
  <c r="S161" i="2" a="1"/>
  <c r="S161" i="2" s="1"/>
  <c r="U161" i="2" s="1"/>
  <c r="R161" i="2"/>
  <c r="O161" i="2"/>
  <c r="S160" i="2" a="1"/>
  <c r="S160" i="2" s="1"/>
  <c r="U160" i="2" s="1"/>
  <c r="R160" i="2"/>
  <c r="O160" i="2"/>
  <c r="S159" i="2" a="1"/>
  <c r="S159" i="2" s="1"/>
  <c r="R159" i="2"/>
  <c r="O159" i="2"/>
  <c r="S158" i="2" a="1"/>
  <c r="S158" i="2" s="1"/>
  <c r="T158" i="2" s="1"/>
  <c r="R158" i="2"/>
  <c r="O158" i="2"/>
  <c r="S157" i="2" a="1"/>
  <c r="S157" i="2" s="1"/>
  <c r="U157" i="2" s="1"/>
  <c r="R157" i="2"/>
  <c r="O157" i="2"/>
  <c r="S156" i="2" a="1"/>
  <c r="S156" i="2" s="1"/>
  <c r="U156" i="2" s="1"/>
  <c r="R156" i="2"/>
  <c r="O156" i="2"/>
  <c r="S155" i="2" a="1"/>
  <c r="S155" i="2" s="1"/>
  <c r="U155" i="2" s="1"/>
  <c r="R155" i="2"/>
  <c r="O155" i="2"/>
  <c r="S154" i="2" a="1"/>
  <c r="S154" i="2" s="1"/>
  <c r="R154" i="2"/>
  <c r="O154" i="2"/>
  <c r="S153" i="2" a="1"/>
  <c r="S153" i="2" s="1"/>
  <c r="R153" i="2"/>
  <c r="O153" i="2"/>
  <c r="S152" i="2" a="1"/>
  <c r="S152" i="2" s="1"/>
  <c r="U152" i="2" s="1"/>
  <c r="R152" i="2"/>
  <c r="O152" i="2"/>
  <c r="S151" i="2" a="1"/>
  <c r="S151" i="2" s="1"/>
  <c r="U151" i="2" s="1"/>
  <c r="R151" i="2"/>
  <c r="O151" i="2"/>
  <c r="S150" i="2" a="1"/>
  <c r="S150" i="2" s="1"/>
  <c r="U150" i="2" s="1"/>
  <c r="R150" i="2"/>
  <c r="O150" i="2"/>
  <c r="S149" i="2" a="1"/>
  <c r="S149" i="2" s="1"/>
  <c r="R149" i="2"/>
  <c r="O149" i="2"/>
  <c r="S148" i="2" a="1"/>
  <c r="S148" i="2" s="1"/>
  <c r="R148" i="2"/>
  <c r="O148" i="2"/>
  <c r="S147" i="2" a="1"/>
  <c r="S147" i="2" s="1"/>
  <c r="U147" i="2" s="1"/>
  <c r="R147" i="2"/>
  <c r="O147" i="2"/>
  <c r="S146" i="2"/>
  <c r="T146" i="2" s="1"/>
  <c r="S146" i="2" a="1"/>
  <c r="R146" i="2"/>
  <c r="O146" i="2"/>
  <c r="S145" i="2" a="1"/>
  <c r="S145" i="2" s="1"/>
  <c r="R145" i="2"/>
  <c r="O145" i="2"/>
  <c r="S144" i="2" a="1"/>
  <c r="S144" i="2" s="1"/>
  <c r="U144" i="2" s="1"/>
  <c r="R144" i="2"/>
  <c r="O144" i="2"/>
  <c r="S143" i="2" a="1"/>
  <c r="S143" i="2" s="1"/>
  <c r="U143" i="2" s="1"/>
  <c r="R143" i="2"/>
  <c r="O143" i="2"/>
  <c r="S142" i="2" a="1"/>
  <c r="S142" i="2" s="1"/>
  <c r="R142" i="2"/>
  <c r="O142" i="2"/>
  <c r="S141" i="2" a="1"/>
  <c r="S141" i="2" s="1"/>
  <c r="R141" i="2"/>
  <c r="O141" i="2"/>
  <c r="S140" i="2" a="1"/>
  <c r="S140" i="2" s="1"/>
  <c r="U140" i="2" s="1"/>
  <c r="R140" i="2"/>
  <c r="O140" i="2"/>
  <c r="S139" i="2" a="1"/>
  <c r="S139" i="2" s="1"/>
  <c r="U139" i="2" s="1"/>
  <c r="R139" i="2"/>
  <c r="O139" i="2"/>
  <c r="S138" i="2" a="1"/>
  <c r="S138" i="2" s="1"/>
  <c r="R138" i="2"/>
  <c r="O138" i="2"/>
  <c r="S137" i="2" a="1"/>
  <c r="S137" i="2" s="1"/>
  <c r="R137" i="2"/>
  <c r="O137" i="2"/>
  <c r="S136" i="2"/>
  <c r="U136" i="2" s="1"/>
  <c r="S136" i="2" a="1"/>
  <c r="R136" i="2"/>
  <c r="O136" i="2"/>
  <c r="S135" i="2" a="1"/>
  <c r="S135" i="2" s="1"/>
  <c r="U135" i="2" s="1"/>
  <c r="R135" i="2"/>
  <c r="O135" i="2"/>
  <c r="S134" i="2" a="1"/>
  <c r="S134" i="2" s="1"/>
  <c r="R134" i="2"/>
  <c r="O134" i="2"/>
  <c r="S133" i="2" a="1"/>
  <c r="S133" i="2" s="1"/>
  <c r="R133" i="2"/>
  <c r="O133" i="2"/>
  <c r="S132" i="2" a="1"/>
  <c r="S132" i="2" s="1"/>
  <c r="U132" i="2" s="1"/>
  <c r="R132" i="2"/>
  <c r="O132" i="2"/>
  <c r="S131" i="2"/>
  <c r="U131" i="2" s="1"/>
  <c r="S131" i="2" a="1"/>
  <c r="R131" i="2"/>
  <c r="O131" i="2"/>
  <c r="S130" i="2" a="1"/>
  <c r="S130" i="2" s="1"/>
  <c r="R130" i="2"/>
  <c r="O130" i="2"/>
  <c r="S129" i="2" a="1"/>
  <c r="S129" i="2" s="1"/>
  <c r="R129" i="2"/>
  <c r="O129" i="2"/>
  <c r="S128" i="2" a="1"/>
  <c r="S128" i="2" s="1"/>
  <c r="U128" i="2" s="1"/>
  <c r="R128" i="2"/>
  <c r="O128" i="2"/>
  <c r="S127" i="2"/>
  <c r="U127" i="2" s="1"/>
  <c r="S127" i="2" a="1"/>
  <c r="R127" i="2"/>
  <c r="O127" i="2"/>
  <c r="S126" i="2" a="1"/>
  <c r="S126" i="2" s="1"/>
  <c r="R126" i="2"/>
  <c r="O126" i="2"/>
  <c r="S125" i="2" a="1"/>
  <c r="S125" i="2" s="1"/>
  <c r="R125" i="2"/>
  <c r="O125" i="2"/>
  <c r="S124" i="2" a="1"/>
  <c r="S124" i="2" s="1"/>
  <c r="U124" i="2" s="1"/>
  <c r="R124" i="2"/>
  <c r="O124" i="2"/>
  <c r="S123" i="2"/>
  <c r="U123" i="2" s="1"/>
  <c r="S123" i="2" a="1"/>
  <c r="R123" i="2"/>
  <c r="O123" i="2"/>
  <c r="S122" i="2" a="1"/>
  <c r="S122" i="2" s="1"/>
  <c r="R122" i="2"/>
  <c r="O122" i="2"/>
  <c r="S121" i="2" a="1"/>
  <c r="S121" i="2" s="1"/>
  <c r="R121" i="2"/>
  <c r="O121" i="2"/>
  <c r="S120" i="2" a="1"/>
  <c r="S120" i="2" s="1"/>
  <c r="U120" i="2" s="1"/>
  <c r="R120" i="2"/>
  <c r="O120" i="2"/>
  <c r="S119" i="2"/>
  <c r="U119" i="2" s="1"/>
  <c r="S119" i="2" a="1"/>
  <c r="R119" i="2"/>
  <c r="O119" i="2"/>
  <c r="S118" i="2" a="1"/>
  <c r="S118" i="2" s="1"/>
  <c r="R118" i="2"/>
  <c r="O118" i="2"/>
  <c r="S117" i="2" a="1"/>
  <c r="S117" i="2" s="1"/>
  <c r="R117" i="2"/>
  <c r="O117" i="2"/>
  <c r="S116" i="2" a="1"/>
  <c r="S116" i="2" s="1"/>
  <c r="U116" i="2" s="1"/>
  <c r="R116" i="2"/>
  <c r="O116" i="2"/>
  <c r="S115" i="2" a="1"/>
  <c r="S115" i="2" s="1"/>
  <c r="U115" i="2" s="1"/>
  <c r="R115" i="2"/>
  <c r="O115" i="2"/>
  <c r="U114" i="2"/>
  <c r="S114" i="2" a="1"/>
  <c r="S114" i="2" s="1"/>
  <c r="R114" i="2"/>
  <c r="O114" i="2"/>
  <c r="S113" i="2" a="1"/>
  <c r="S113" i="2" s="1"/>
  <c r="R113" i="2"/>
  <c r="O113" i="2"/>
  <c r="S112" i="2" a="1"/>
  <c r="S112" i="2" s="1"/>
  <c r="U112" i="2" s="1"/>
  <c r="R112" i="2"/>
  <c r="O112" i="2"/>
  <c r="S111" i="2" a="1"/>
  <c r="S111" i="2" s="1"/>
  <c r="U111" i="2" s="1"/>
  <c r="R111" i="2"/>
  <c r="O111" i="2"/>
  <c r="U110" i="2"/>
  <c r="S110" i="2" a="1"/>
  <c r="S110" i="2" s="1"/>
  <c r="R110" i="2"/>
  <c r="O110" i="2"/>
  <c r="S109" i="2" a="1"/>
  <c r="S109" i="2" s="1"/>
  <c r="R109" i="2"/>
  <c r="O109" i="2"/>
  <c r="S108" i="2" a="1"/>
  <c r="S108" i="2" s="1"/>
  <c r="U108" i="2" s="1"/>
  <c r="R108" i="2"/>
  <c r="O108" i="2"/>
  <c r="S107" i="2" a="1"/>
  <c r="S107" i="2" s="1"/>
  <c r="U107" i="2" s="1"/>
  <c r="R107" i="2"/>
  <c r="O107" i="2"/>
  <c r="S106" i="2" a="1"/>
  <c r="S106" i="2" s="1"/>
  <c r="U106" i="2" s="1"/>
  <c r="R106" i="2"/>
  <c r="O106" i="2"/>
  <c r="S105" i="2" a="1"/>
  <c r="S105" i="2" s="1"/>
  <c r="R105" i="2"/>
  <c r="O105" i="2"/>
  <c r="S104" i="2" a="1"/>
  <c r="S104" i="2" s="1"/>
  <c r="U104" i="2" s="1"/>
  <c r="R104" i="2"/>
  <c r="O104" i="2"/>
  <c r="S103" i="2"/>
  <c r="U103" i="2" s="1"/>
  <c r="S103" i="2" a="1"/>
  <c r="R103" i="2"/>
  <c r="O103" i="2"/>
  <c r="S102" i="2" a="1"/>
  <c r="S102" i="2" s="1"/>
  <c r="R102" i="2"/>
  <c r="O102" i="2"/>
  <c r="S101" i="2" a="1"/>
  <c r="S101" i="2" s="1"/>
  <c r="R101" i="2"/>
  <c r="O101" i="2"/>
  <c r="S100" i="2" a="1"/>
  <c r="S100" i="2" s="1"/>
  <c r="U100" i="2" s="1"/>
  <c r="R100" i="2"/>
  <c r="O100" i="2"/>
  <c r="S99" i="2"/>
  <c r="U99" i="2" s="1"/>
  <c r="S99" i="2" a="1"/>
  <c r="R99" i="2"/>
  <c r="O99" i="2"/>
  <c r="S98" i="2" a="1"/>
  <c r="S98" i="2" s="1"/>
  <c r="R98" i="2"/>
  <c r="O98" i="2"/>
  <c r="S97" i="2" a="1"/>
  <c r="S97" i="2" s="1"/>
  <c r="R97" i="2"/>
  <c r="O97" i="2"/>
  <c r="S96" i="2" a="1"/>
  <c r="S96" i="2" s="1"/>
  <c r="U96" i="2" s="1"/>
  <c r="R96" i="2"/>
  <c r="O96" i="2"/>
  <c r="S95" i="2" a="1"/>
  <c r="S95" i="2" s="1"/>
  <c r="U95" i="2" s="1"/>
  <c r="R95" i="2"/>
  <c r="O95" i="2"/>
  <c r="S94" i="2" a="1"/>
  <c r="S94" i="2" s="1"/>
  <c r="R94" i="2"/>
  <c r="O94" i="2"/>
  <c r="S93" i="2" a="1"/>
  <c r="S93" i="2" s="1"/>
  <c r="R93" i="2"/>
  <c r="O93" i="2"/>
  <c r="S92" i="2" a="1"/>
  <c r="S92" i="2" s="1"/>
  <c r="U92" i="2" s="1"/>
  <c r="R92" i="2"/>
  <c r="O92" i="2"/>
  <c r="S91" i="2" a="1"/>
  <c r="S91" i="2" s="1"/>
  <c r="U91" i="2" s="1"/>
  <c r="R91" i="2"/>
  <c r="O91" i="2"/>
  <c r="U90" i="2"/>
  <c r="S90" i="2" a="1"/>
  <c r="S90" i="2" s="1"/>
  <c r="R90" i="2"/>
  <c r="O90" i="2"/>
  <c r="S89" i="2" a="1"/>
  <c r="S89" i="2" s="1"/>
  <c r="R89" i="2"/>
  <c r="O89" i="2"/>
  <c r="S88" i="2" a="1"/>
  <c r="S88" i="2" s="1"/>
  <c r="U88" i="2" s="1"/>
  <c r="R88" i="2"/>
  <c r="T88" i="2" s="1"/>
  <c r="V88" i="2" s="1"/>
  <c r="W88" i="2" s="1"/>
  <c r="O88" i="2"/>
  <c r="S87" i="2" a="1"/>
  <c r="S87" i="2" s="1"/>
  <c r="U87" i="2" s="1"/>
  <c r="R87" i="2"/>
  <c r="O87" i="2"/>
  <c r="S86" i="2" a="1"/>
  <c r="S86" i="2" s="1"/>
  <c r="R86" i="2"/>
  <c r="O86" i="2"/>
  <c r="S85" i="2" a="1"/>
  <c r="S85" i="2" s="1"/>
  <c r="R85" i="2"/>
  <c r="O85" i="2"/>
  <c r="S84" i="2" a="1"/>
  <c r="S84" i="2" s="1"/>
  <c r="U84" i="2" s="1"/>
  <c r="R84" i="2"/>
  <c r="O84" i="2"/>
  <c r="S83" i="2"/>
  <c r="U83" i="2" s="1"/>
  <c r="S83" i="2" a="1"/>
  <c r="R83" i="2"/>
  <c r="O83" i="2"/>
  <c r="S82" i="2" a="1"/>
  <c r="S82" i="2" s="1"/>
  <c r="R82" i="2"/>
  <c r="O82" i="2"/>
  <c r="S81" i="2" a="1"/>
  <c r="S81" i="2" s="1"/>
  <c r="R81" i="2"/>
  <c r="O81" i="2"/>
  <c r="S80" i="2" a="1"/>
  <c r="S80" i="2" s="1"/>
  <c r="U80" i="2" s="1"/>
  <c r="R80" i="2"/>
  <c r="O80" i="2"/>
  <c r="S79" i="2" a="1"/>
  <c r="S79" i="2" s="1"/>
  <c r="R79" i="2"/>
  <c r="O79" i="2"/>
  <c r="U78" i="2"/>
  <c r="S78" i="2" a="1"/>
  <c r="S78" i="2" s="1"/>
  <c r="R78" i="2"/>
  <c r="O78" i="2"/>
  <c r="S77" i="2" a="1"/>
  <c r="S77" i="2" s="1"/>
  <c r="R77" i="2"/>
  <c r="O77" i="2"/>
  <c r="S76" i="2" a="1"/>
  <c r="S76" i="2" s="1"/>
  <c r="U76" i="2" s="1"/>
  <c r="R76" i="2"/>
  <c r="O76" i="2"/>
  <c r="S75" i="2"/>
  <c r="S75" i="2" a="1"/>
  <c r="R75" i="2"/>
  <c r="O75" i="2"/>
  <c r="S74" i="2" a="1"/>
  <c r="S74" i="2" s="1"/>
  <c r="R74" i="2"/>
  <c r="O74" i="2"/>
  <c r="S73" i="2" a="1"/>
  <c r="S73" i="2" s="1"/>
  <c r="R73" i="2"/>
  <c r="O73" i="2"/>
  <c r="S72" i="2" a="1"/>
  <c r="S72" i="2" s="1"/>
  <c r="U72" i="2" s="1"/>
  <c r="R72" i="2"/>
  <c r="O72" i="2"/>
  <c r="S71" i="2" a="1"/>
  <c r="S71" i="2" s="1"/>
  <c r="R71" i="2"/>
  <c r="O71" i="2"/>
  <c r="S70" i="2" a="1"/>
  <c r="S70" i="2" s="1"/>
  <c r="R70" i="2"/>
  <c r="O70" i="2"/>
  <c r="S69" i="2" a="1"/>
  <c r="S69" i="2" s="1"/>
  <c r="R69" i="2"/>
  <c r="O69" i="2"/>
  <c r="S68" i="2" a="1"/>
  <c r="S68" i="2" s="1"/>
  <c r="U68" i="2" s="1"/>
  <c r="R68" i="2"/>
  <c r="T68" i="2" s="1"/>
  <c r="V68" i="2" s="1"/>
  <c r="W68" i="2" s="1"/>
  <c r="O68" i="2"/>
  <c r="S67" i="2"/>
  <c r="S67" i="2" a="1"/>
  <c r="R67" i="2"/>
  <c r="O67" i="2"/>
  <c r="S66" i="2" a="1"/>
  <c r="S66" i="2" s="1"/>
  <c r="R66" i="2"/>
  <c r="O66" i="2"/>
  <c r="S65" i="2" a="1"/>
  <c r="S65" i="2" s="1"/>
  <c r="R65" i="2"/>
  <c r="O65" i="2"/>
  <c r="S64" i="2" a="1"/>
  <c r="S64" i="2" s="1"/>
  <c r="U64" i="2" s="1"/>
  <c r="R64" i="2"/>
  <c r="O64" i="2"/>
  <c r="S63" i="2" a="1"/>
  <c r="S63" i="2" s="1"/>
  <c r="R63" i="2"/>
  <c r="O63" i="2"/>
  <c r="S62" i="2" a="1"/>
  <c r="S62" i="2" s="1"/>
  <c r="R62" i="2"/>
  <c r="O62" i="2"/>
  <c r="S61" i="2" a="1"/>
  <c r="S61" i="2" s="1"/>
  <c r="R61" i="2"/>
  <c r="O61" i="2"/>
  <c r="S60" i="2" a="1"/>
  <c r="S60" i="2" s="1"/>
  <c r="U60" i="2" s="1"/>
  <c r="R60" i="2"/>
  <c r="O60" i="2"/>
  <c r="S59" i="2" a="1"/>
  <c r="S59" i="2" s="1"/>
  <c r="R59" i="2"/>
  <c r="O59" i="2"/>
  <c r="S58" i="2" a="1"/>
  <c r="S58" i="2" s="1"/>
  <c r="T58" i="2" s="1"/>
  <c r="R58" i="2"/>
  <c r="O58" i="2"/>
  <c r="S57" i="2" a="1"/>
  <c r="S57" i="2" s="1"/>
  <c r="R57" i="2"/>
  <c r="O57" i="2"/>
  <c r="S56" i="2" a="1"/>
  <c r="S56" i="2" s="1"/>
  <c r="U56" i="2" s="1"/>
  <c r="R56" i="2"/>
  <c r="O56" i="2"/>
  <c r="S55" i="2" a="1"/>
  <c r="S55" i="2" s="1"/>
  <c r="R55" i="2"/>
  <c r="O55" i="2"/>
  <c r="S54" i="2" a="1"/>
  <c r="S54" i="2" s="1"/>
  <c r="R54" i="2"/>
  <c r="O54" i="2"/>
  <c r="S53" i="2" a="1"/>
  <c r="S53" i="2" s="1"/>
  <c r="R53" i="2"/>
  <c r="O53" i="2"/>
  <c r="S52" i="2" a="1"/>
  <c r="S52" i="2" s="1"/>
  <c r="U52" i="2" s="1"/>
  <c r="R52" i="2"/>
  <c r="T52" i="2" s="1"/>
  <c r="V52" i="2" s="1"/>
  <c r="W52" i="2" s="1"/>
  <c r="O52" i="2"/>
  <c r="S51" i="2" a="1"/>
  <c r="S51" i="2" s="1"/>
  <c r="R51" i="2"/>
  <c r="O51" i="2"/>
  <c r="S50" i="2" a="1"/>
  <c r="S50" i="2" s="1"/>
  <c r="T50" i="2" s="1"/>
  <c r="R50" i="2"/>
  <c r="O50" i="2"/>
  <c r="S49" i="2" a="1"/>
  <c r="S49" i="2" s="1"/>
  <c r="R49" i="2"/>
  <c r="O49" i="2"/>
  <c r="S48" i="2" a="1"/>
  <c r="S48" i="2" s="1"/>
  <c r="U48" i="2" s="1"/>
  <c r="R48" i="2"/>
  <c r="O48" i="2"/>
  <c r="S47" i="2" a="1"/>
  <c r="S47" i="2" s="1"/>
  <c r="R47" i="2"/>
  <c r="O47" i="2"/>
  <c r="S46" i="2" a="1"/>
  <c r="S46" i="2" s="1"/>
  <c r="T46" i="2" s="1"/>
  <c r="R46" i="2"/>
  <c r="O46" i="2"/>
  <c r="S45" i="2" a="1"/>
  <c r="S45" i="2" s="1"/>
  <c r="R45" i="2"/>
  <c r="O45" i="2"/>
  <c r="S44" i="2" a="1"/>
  <c r="S44" i="2" s="1"/>
  <c r="U44" i="2" s="1"/>
  <c r="R44" i="2"/>
  <c r="O44" i="2"/>
  <c r="S43" i="2" a="1"/>
  <c r="S43" i="2" s="1"/>
  <c r="R43" i="2"/>
  <c r="O43" i="2"/>
  <c r="S42" i="2" a="1"/>
  <c r="S42" i="2" s="1"/>
  <c r="R42" i="2"/>
  <c r="O42" i="2"/>
  <c r="S41" i="2" a="1"/>
  <c r="S41" i="2" s="1"/>
  <c r="R41" i="2"/>
  <c r="O41" i="2"/>
  <c r="S40" i="2" a="1"/>
  <c r="S40" i="2" s="1"/>
  <c r="U40" i="2" s="1"/>
  <c r="R40" i="2"/>
  <c r="O40" i="2"/>
  <c r="S39" i="2" a="1"/>
  <c r="S39" i="2" s="1"/>
  <c r="R39" i="2"/>
  <c r="O39" i="2"/>
  <c r="S38" i="2" a="1"/>
  <c r="S38" i="2" s="1"/>
  <c r="R38" i="2"/>
  <c r="O38" i="2"/>
  <c r="S37" i="2" a="1"/>
  <c r="S37" i="2" s="1"/>
  <c r="R37" i="2"/>
  <c r="O37" i="2"/>
  <c r="S36" i="2" a="1"/>
  <c r="S36" i="2" s="1"/>
  <c r="U36" i="2" s="1"/>
  <c r="R36" i="2"/>
  <c r="T36" i="2" s="1"/>
  <c r="V36" i="2" s="1"/>
  <c r="W36" i="2" s="1"/>
  <c r="O36" i="2"/>
  <c r="S35" i="2" a="1"/>
  <c r="S35" i="2" s="1"/>
  <c r="R35" i="2"/>
  <c r="O35" i="2"/>
  <c r="S34" i="2" a="1"/>
  <c r="S34" i="2" s="1"/>
  <c r="T34" i="2" s="1"/>
  <c r="R34" i="2"/>
  <c r="O34" i="2"/>
  <c r="S33" i="2" a="1"/>
  <c r="S33" i="2" s="1"/>
  <c r="R33" i="2"/>
  <c r="O33" i="2"/>
  <c r="S32" i="2" a="1"/>
  <c r="S32" i="2" s="1"/>
  <c r="U32" i="2" s="1"/>
  <c r="R32" i="2"/>
  <c r="O32" i="2"/>
  <c r="S31" i="2" a="1"/>
  <c r="S31" i="2" s="1"/>
  <c r="R31" i="2"/>
  <c r="O31" i="2"/>
  <c r="S30" i="2" a="1"/>
  <c r="S30" i="2" s="1"/>
  <c r="R30" i="2"/>
  <c r="O30" i="2"/>
  <c r="S29" i="2" a="1"/>
  <c r="S29" i="2" s="1"/>
  <c r="U29" i="2" s="1"/>
  <c r="R29" i="2"/>
  <c r="O29" i="2"/>
  <c r="S28" i="2" a="1"/>
  <c r="S28" i="2" s="1"/>
  <c r="U28" i="2" s="1"/>
  <c r="R28" i="2"/>
  <c r="O28" i="2"/>
  <c r="S27" i="2" a="1"/>
  <c r="S27" i="2" s="1"/>
  <c r="R27" i="2"/>
  <c r="O27" i="2"/>
  <c r="S26" i="2" a="1"/>
  <c r="S26" i="2" s="1"/>
  <c r="R26" i="2"/>
  <c r="O26" i="2"/>
  <c r="S25" i="2" a="1"/>
  <c r="S25" i="2" s="1"/>
  <c r="U25" i="2" s="1"/>
  <c r="R25" i="2"/>
  <c r="T25" i="2" s="1"/>
  <c r="V25" i="2" s="1"/>
  <c r="W25" i="2" s="1"/>
  <c r="O25" i="2"/>
  <c r="S24" i="2" a="1"/>
  <c r="S24" i="2" s="1"/>
  <c r="U24" i="2" s="1"/>
  <c r="R24" i="2"/>
  <c r="O24" i="2"/>
  <c r="S23" i="2" a="1"/>
  <c r="S23" i="2" s="1"/>
  <c r="R23" i="2"/>
  <c r="O23" i="2"/>
  <c r="S22" i="2" a="1"/>
  <c r="S22" i="2" s="1"/>
  <c r="R22" i="2"/>
  <c r="O22" i="2"/>
  <c r="S21" i="2" a="1"/>
  <c r="S21" i="2" s="1"/>
  <c r="U21" i="2" s="1"/>
  <c r="R21" i="2"/>
  <c r="O21" i="2"/>
  <c r="S20" i="2" a="1"/>
  <c r="S20" i="2" s="1"/>
  <c r="U20" i="2" s="1"/>
  <c r="R20" i="2"/>
  <c r="O20" i="2"/>
  <c r="S19" i="2" a="1"/>
  <c r="S19" i="2" s="1"/>
  <c r="R19" i="2"/>
  <c r="O19" i="2"/>
  <c r="S18" i="2" a="1"/>
  <c r="S18" i="2" s="1"/>
  <c r="U18" i="2" s="1"/>
  <c r="R18" i="2"/>
  <c r="O18" i="2"/>
  <c r="S17" i="2" a="1"/>
  <c r="S17" i="2" s="1"/>
  <c r="U17" i="2" s="1"/>
  <c r="R17" i="2"/>
  <c r="O17" i="2"/>
  <c r="S16" i="2" a="1"/>
  <c r="S16" i="2" s="1"/>
  <c r="U16" i="2" s="1"/>
  <c r="R16" i="2"/>
  <c r="O16" i="2"/>
  <c r="S15" i="2" a="1"/>
  <c r="S15" i="2" s="1"/>
  <c r="R15" i="2"/>
  <c r="O15" i="2"/>
  <c r="S14" i="2" a="1"/>
  <c r="S14" i="2" s="1"/>
  <c r="U14" i="2" s="1"/>
  <c r="R14" i="2"/>
  <c r="O14" i="2"/>
  <c r="S13" i="2" a="1"/>
  <c r="S13" i="2" s="1"/>
  <c r="U13" i="2" s="1"/>
  <c r="R13" i="2"/>
  <c r="O13" i="2"/>
  <c r="S12" i="2" a="1"/>
  <c r="S12" i="2" s="1"/>
  <c r="U12" i="2" s="1"/>
  <c r="R12" i="2"/>
  <c r="O12" i="2"/>
  <c r="S11" i="2" a="1"/>
  <c r="S11" i="2" s="1"/>
  <c r="R11" i="2"/>
  <c r="O11" i="2"/>
  <c r="S10" i="2"/>
  <c r="S10" i="2" a="1"/>
  <c r="R10" i="2"/>
  <c r="O10" i="2"/>
  <c r="S9" i="2" a="1"/>
  <c r="S9" i="2" s="1"/>
  <c r="U9" i="2" s="1"/>
  <c r="R9" i="2"/>
  <c r="O9" i="2"/>
  <c r="S8" i="2" a="1"/>
  <c r="S8" i="2" s="1"/>
  <c r="U8" i="2" s="1"/>
  <c r="R8" i="2"/>
  <c r="O8" i="2"/>
  <c r="S7" i="2" a="1"/>
  <c r="S7" i="2" s="1"/>
  <c r="U7" i="2" s="1"/>
  <c r="R7" i="2"/>
  <c r="O7" i="2"/>
  <c r="S6" i="2"/>
  <c r="S6" i="2" a="1"/>
  <c r="R6" i="2"/>
  <c r="O6" i="2"/>
  <c r="S5" i="2" a="1"/>
  <c r="S5" i="2" s="1"/>
  <c r="U5" i="2" s="1"/>
  <c r="R5" i="2"/>
  <c r="O5" i="2"/>
  <c r="S4" i="2"/>
  <c r="U4" i="2" s="1"/>
  <c r="S4" i="2" a="1"/>
  <c r="R4" i="2"/>
  <c r="T4" i="2" s="1"/>
  <c r="O4" i="2"/>
  <c r="AE2" i="2"/>
  <c r="L35" i="1"/>
  <c r="K56" i="1" l="1"/>
  <c r="L56" i="1" s="1"/>
  <c r="M56" i="1" s="1"/>
  <c r="K52" i="1"/>
  <c r="K55" i="1"/>
  <c r="L55" i="1" s="1"/>
  <c r="M55" i="1" s="1"/>
  <c r="K85" i="1"/>
  <c r="L85" i="1" s="1"/>
  <c r="M85" i="1" s="1"/>
  <c r="K66" i="1"/>
  <c r="L66" i="1" s="1"/>
  <c r="M66" i="1" s="1"/>
  <c r="K59" i="1"/>
  <c r="L59" i="1" s="1"/>
  <c r="M59" i="1" s="1"/>
  <c r="K54" i="1"/>
  <c r="L54" i="1" s="1"/>
  <c r="M54" i="1" s="1"/>
  <c r="K65" i="1"/>
  <c r="L65" i="1" s="1"/>
  <c r="M65" i="1" s="1"/>
  <c r="K88" i="1"/>
  <c r="L88" i="1" s="1"/>
  <c r="M88" i="1" s="1"/>
  <c r="K53" i="1"/>
  <c r="L53" i="1" s="1"/>
  <c r="M53" i="1" s="1"/>
  <c r="K64" i="1"/>
  <c r="L64" i="1" s="1"/>
  <c r="M64" i="1" s="1"/>
  <c r="K87" i="1"/>
  <c r="L87" i="1" s="1"/>
  <c r="M87" i="1" s="1"/>
  <c r="K62" i="1"/>
  <c r="L62" i="1" s="1"/>
  <c r="M62" i="1" s="1"/>
  <c r="K58" i="1"/>
  <c r="L58" i="1" s="1"/>
  <c r="M58" i="1" s="1"/>
  <c r="K84" i="1"/>
  <c r="L84" i="1" s="1"/>
  <c r="M84" i="1" s="1"/>
  <c r="K57" i="1"/>
  <c r="L57" i="1" s="1"/>
  <c r="M57" i="1" s="1"/>
  <c r="N57" i="1"/>
  <c r="N52" i="1"/>
  <c r="N60" i="1"/>
  <c r="K78" i="1"/>
  <c r="N56" i="1"/>
  <c r="N66" i="1"/>
  <c r="N59" i="1"/>
  <c r="K77" i="1"/>
  <c r="N55" i="1"/>
  <c r="K79" i="1"/>
  <c r="N65" i="1"/>
  <c r="N88" i="1"/>
  <c r="K76" i="1"/>
  <c r="N64" i="1"/>
  <c r="N87" i="1"/>
  <c r="K75" i="1"/>
  <c r="N61" i="1"/>
  <c r="N63" i="1"/>
  <c r="N86" i="1"/>
  <c r="K74" i="1"/>
  <c r="N62" i="1"/>
  <c r="N85" i="1"/>
  <c r="N54" i="1"/>
  <c r="N84" i="1"/>
  <c r="K80" i="1"/>
  <c r="N58" i="1"/>
  <c r="T154" i="2"/>
  <c r="U154" i="2"/>
  <c r="U532" i="2"/>
  <c r="T532" i="2"/>
  <c r="V532" i="2" s="1"/>
  <c r="W532" i="2" s="1"/>
  <c r="V711" i="2"/>
  <c r="W711" i="2" s="1"/>
  <c r="X711" i="2" s="1" a="1"/>
  <c r="X711" i="2" s="1"/>
  <c r="T44" i="2"/>
  <c r="V44" i="2" s="1"/>
  <c r="W44" i="2" s="1"/>
  <c r="U46" i="2"/>
  <c r="T56" i="2"/>
  <c r="V56" i="2" s="1"/>
  <c r="W56" i="2" s="1"/>
  <c r="T122" i="2"/>
  <c r="U158" i="2"/>
  <c r="T161" i="2"/>
  <c r="V161" i="2" s="1"/>
  <c r="W161" i="2" s="1"/>
  <c r="T170" i="2"/>
  <c r="T180" i="2"/>
  <c r="V180" i="2" s="1"/>
  <c r="W180" i="2" s="1"/>
  <c r="X180" i="2" s="1" a="1"/>
  <c r="X180" i="2" s="1"/>
  <c r="T200" i="2"/>
  <c r="V200" i="2" s="1"/>
  <c r="W200" i="2" s="1"/>
  <c r="AD200" i="2" s="1"/>
  <c r="T305" i="2"/>
  <c r="T343" i="2"/>
  <c r="V343" i="2" s="1"/>
  <c r="W343" i="2" s="1"/>
  <c r="T356" i="2"/>
  <c r="V356" i="2" s="1"/>
  <c r="W356" i="2" s="1"/>
  <c r="T364" i="2"/>
  <c r="V364" i="2" s="1"/>
  <c r="W364" i="2" s="1"/>
  <c r="T394" i="2"/>
  <c r="T420" i="2"/>
  <c r="T468" i="2"/>
  <c r="V468" i="2" s="1"/>
  <c r="W468" i="2" s="1"/>
  <c r="T504" i="2"/>
  <c r="V504" i="2" s="1"/>
  <c r="W504" i="2" s="1"/>
  <c r="T523" i="2"/>
  <c r="V523" i="2" s="1"/>
  <c r="W523" i="2" s="1"/>
  <c r="T589" i="2"/>
  <c r="V589" i="2" s="1"/>
  <c r="W589" i="2" s="1"/>
  <c r="T654" i="2"/>
  <c r="V654" i="2" s="1"/>
  <c r="W654" i="2" s="1"/>
  <c r="Y654" i="2" s="1"/>
  <c r="Z654" i="2" s="1"/>
  <c r="T731" i="2"/>
  <c r="V731" i="2" s="1"/>
  <c r="W731" i="2" s="1"/>
  <c r="T6" i="2"/>
  <c r="T406" i="2"/>
  <c r="V450" i="2"/>
  <c r="W450" i="2" s="1"/>
  <c r="T540" i="2"/>
  <c r="V540" i="2" s="1"/>
  <c r="W540" i="2" s="1"/>
  <c r="AD540" i="2" s="1"/>
  <c r="T565" i="2"/>
  <c r="V565" i="2" s="1"/>
  <c r="W565" i="2" s="1"/>
  <c r="T567" i="2"/>
  <c r="V662" i="2"/>
  <c r="W662" i="2" s="1"/>
  <c r="AE662" i="2" s="1"/>
  <c r="T666" i="2"/>
  <c r="T729" i="2"/>
  <c r="T487" i="2"/>
  <c r="V521" i="2"/>
  <c r="W521" i="2" s="1"/>
  <c r="Y521" i="2" s="1"/>
  <c r="Z521" i="2" s="1"/>
  <c r="T659" i="2"/>
  <c r="T22" i="2"/>
  <c r="T74" i="2"/>
  <c r="T84" i="2"/>
  <c r="V84" i="2" s="1"/>
  <c r="W84" i="2" s="1"/>
  <c r="X84" i="2" s="1" a="1"/>
  <c r="X84" i="2" s="1"/>
  <c r="T94" i="2"/>
  <c r="T198" i="2"/>
  <c r="T246" i="2"/>
  <c r="T313" i="2"/>
  <c r="T349" i="2"/>
  <c r="V349" i="2" s="1"/>
  <c r="W349" i="2" s="1"/>
  <c r="Y349" i="2" s="1"/>
  <c r="Z349" i="2" s="1"/>
  <c r="U567" i="2"/>
  <c r="U666" i="2"/>
  <c r="V725" i="2"/>
  <c r="W725" i="2" s="1"/>
  <c r="AE725" i="2" s="1"/>
  <c r="T745" i="2"/>
  <c r="V745" i="2" s="1"/>
  <c r="W745" i="2" s="1"/>
  <c r="T147" i="2"/>
  <c r="V147" i="2" s="1"/>
  <c r="W147" i="2" s="1"/>
  <c r="T86" i="2"/>
  <c r="T5" i="2"/>
  <c r="V5" i="2" s="1"/>
  <c r="W5" i="2" s="1"/>
  <c r="X5" i="2" s="1" a="1"/>
  <c r="X5" i="2" s="1"/>
  <c r="T12" i="2"/>
  <c r="V12" i="2" s="1"/>
  <c r="W12" i="2" s="1"/>
  <c r="AE12" i="2" s="1"/>
  <c r="T20" i="2"/>
  <c r="V20" i="2" s="1"/>
  <c r="W20" i="2" s="1"/>
  <c r="T40" i="2"/>
  <c r="V40" i="2" s="1"/>
  <c r="W40" i="2" s="1"/>
  <c r="T215" i="2"/>
  <c r="V215" i="2" s="1"/>
  <c r="W215" i="2" s="1"/>
  <c r="X215" i="2" s="1" a="1"/>
  <c r="X215" i="2" s="1"/>
  <c r="T228" i="2"/>
  <c r="T279" i="2"/>
  <c r="V279" i="2" s="1"/>
  <c r="W279" i="2" s="1"/>
  <c r="T331" i="2"/>
  <c r="V331" i="2" s="1"/>
  <c r="W331" i="2" s="1"/>
  <c r="Y331" i="2" s="1"/>
  <c r="Z331" i="2" s="1"/>
  <c r="T368" i="2"/>
  <c r="V368" i="2" s="1"/>
  <c r="W368" i="2" s="1"/>
  <c r="X368" i="2" s="1" a="1"/>
  <c r="X368" i="2" s="1"/>
  <c r="T404" i="2"/>
  <c r="V404" i="2" s="1"/>
  <c r="W404" i="2" s="1"/>
  <c r="AE404" i="2" s="1"/>
  <c r="T414" i="2"/>
  <c r="V414" i="2" s="1"/>
  <c r="W414" i="2" s="1"/>
  <c r="Y414" i="2" s="1"/>
  <c r="Z414" i="2" s="1"/>
  <c r="T431" i="2"/>
  <c r="V431" i="2" s="1"/>
  <c r="W431" i="2" s="1"/>
  <c r="T441" i="2"/>
  <c r="V441" i="2" s="1"/>
  <c r="W441" i="2" s="1"/>
  <c r="AE441" i="2" s="1"/>
  <c r="T457" i="2"/>
  <c r="V457" i="2" s="1"/>
  <c r="W457" i="2" s="1"/>
  <c r="T464" i="2"/>
  <c r="T474" i="2"/>
  <c r="T529" i="2"/>
  <c r="V529" i="2" s="1"/>
  <c r="W529" i="2" s="1"/>
  <c r="Y529" i="2" s="1"/>
  <c r="Z529" i="2" s="1"/>
  <c r="T583" i="2"/>
  <c r="V583" i="2" s="1"/>
  <c r="W583" i="2" s="1"/>
  <c r="T600" i="2"/>
  <c r="V600" i="2" s="1"/>
  <c r="W600" i="2" s="1"/>
  <c r="T684" i="2"/>
  <c r="T691" i="2"/>
  <c r="V691" i="2" s="1"/>
  <c r="W691" i="2" s="1"/>
  <c r="Y691" i="2" s="1"/>
  <c r="Z691" i="2" s="1"/>
  <c r="V715" i="2"/>
  <c r="W715" i="2" s="1"/>
  <c r="Y715" i="2" s="1"/>
  <c r="Z715" i="2" s="1"/>
  <c r="T750" i="2"/>
  <c r="T96" i="2"/>
  <c r="V96" i="2" s="1"/>
  <c r="W96" i="2" s="1"/>
  <c r="T108" i="2"/>
  <c r="V108" i="2" s="1"/>
  <c r="W108" i="2" s="1"/>
  <c r="X108" i="2" s="1" a="1"/>
  <c r="X108" i="2" s="1"/>
  <c r="T116" i="2"/>
  <c r="V116" i="2" s="1"/>
  <c r="W116" i="2" s="1"/>
  <c r="U162" i="2"/>
  <c r="T251" i="2"/>
  <c r="V251" i="2" s="1"/>
  <c r="W251" i="2" s="1"/>
  <c r="T439" i="2"/>
  <c r="V439" i="2" s="1"/>
  <c r="W439" i="2" s="1"/>
  <c r="AD439" i="2" s="1"/>
  <c r="T603" i="2"/>
  <c r="V603" i="2" s="1"/>
  <c r="W603" i="2" s="1"/>
  <c r="T703" i="2"/>
  <c r="V703" i="2" s="1"/>
  <c r="W703" i="2" s="1"/>
  <c r="T723" i="2"/>
  <c r="V723" i="2" s="1"/>
  <c r="W723" i="2" s="1"/>
  <c r="T664" i="2"/>
  <c r="V664" i="2" s="1"/>
  <c r="W664" i="2" s="1"/>
  <c r="AD664" i="2" s="1"/>
  <c r="T8" i="2"/>
  <c r="V8" i="2" s="1"/>
  <c r="W8" i="2" s="1"/>
  <c r="T28" i="2"/>
  <c r="V28" i="2" s="1"/>
  <c r="W28" i="2" s="1"/>
  <c r="T70" i="2"/>
  <c r="T90" i="2"/>
  <c r="V90" i="2" s="1"/>
  <c r="W90" i="2" s="1"/>
  <c r="T144" i="2"/>
  <c r="V144" i="2" s="1"/>
  <c r="W144" i="2" s="1"/>
  <c r="T277" i="2"/>
  <c r="T299" i="2"/>
  <c r="V299" i="2" s="1"/>
  <c r="W299" i="2" s="1"/>
  <c r="T329" i="2"/>
  <c r="T358" i="2"/>
  <c r="V358" i="2" s="1"/>
  <c r="W358" i="2" s="1"/>
  <c r="AE358" i="2" s="1"/>
  <c r="T366" i="2"/>
  <c r="T386" i="2"/>
  <c r="V386" i="2" s="1"/>
  <c r="W386" i="2" s="1"/>
  <c r="T412" i="2"/>
  <c r="V412" i="2" s="1"/>
  <c r="W412" i="2" s="1"/>
  <c r="AD412" i="2" s="1"/>
  <c r="T437" i="2"/>
  <c r="V437" i="2" s="1"/>
  <c r="W437" i="2" s="1"/>
  <c r="Y437" i="2" s="1"/>
  <c r="Z437" i="2" s="1"/>
  <c r="T479" i="2"/>
  <c r="V479" i="2" s="1"/>
  <c r="W479" i="2" s="1"/>
  <c r="T525" i="2"/>
  <c r="T527" i="2"/>
  <c r="V527" i="2" s="1"/>
  <c r="W527" i="2" s="1"/>
  <c r="AE527" i="2" s="1"/>
  <c r="T598" i="2"/>
  <c r="V598" i="2" s="1"/>
  <c r="W598" i="2" s="1"/>
  <c r="T608" i="2"/>
  <c r="V608" i="2" s="1"/>
  <c r="W608" i="2" s="1"/>
  <c r="X608" i="2" s="1" a="1"/>
  <c r="X608" i="2" s="1"/>
  <c r="T680" i="2"/>
  <c r="T741" i="2"/>
  <c r="V741" i="2" s="1"/>
  <c r="W741" i="2" s="1"/>
  <c r="Y741" i="2" s="1"/>
  <c r="Z741" i="2" s="1"/>
  <c r="T751" i="2"/>
  <c r="V751" i="2" s="1"/>
  <c r="W751" i="2" s="1"/>
  <c r="T202" i="2"/>
  <c r="U202" i="2"/>
  <c r="T132" i="2"/>
  <c r="V132" i="2" s="1"/>
  <c r="W132" i="2" s="1"/>
  <c r="Y211" i="2"/>
  <c r="Z211" i="2" s="1"/>
  <c r="X211" i="2" a="1"/>
  <c r="X211" i="2" s="1"/>
  <c r="T134" i="2"/>
  <c r="U134" i="2"/>
  <c r="T142" i="2"/>
  <c r="U142" i="2"/>
  <c r="U183" i="2"/>
  <c r="T183" i="2"/>
  <c r="V183" i="2" s="1"/>
  <c r="W183" i="2" s="1"/>
  <c r="Y183" i="2" s="1"/>
  <c r="Z183" i="2" s="1"/>
  <c r="T138" i="2"/>
  <c r="U138" i="2"/>
  <c r="U148" i="2"/>
  <c r="T148" i="2"/>
  <c r="U179" i="2"/>
  <c r="T179" i="2"/>
  <c r="Y386" i="2"/>
  <c r="Z386" i="2" s="1"/>
  <c r="X386" i="2" a="1"/>
  <c r="X386" i="2" s="1"/>
  <c r="Y608" i="2"/>
  <c r="Z608" i="2" s="1"/>
  <c r="T337" i="2"/>
  <c r="V337" i="2" s="1"/>
  <c r="W337" i="2" s="1"/>
  <c r="AD337" i="2" s="1"/>
  <c r="U337" i="2"/>
  <c r="V370" i="2"/>
  <c r="W370" i="2" s="1"/>
  <c r="V487" i="2"/>
  <c r="W487" i="2" s="1"/>
  <c r="AE487" i="2" s="1"/>
  <c r="T499" i="2"/>
  <c r="V499" i="2" s="1"/>
  <c r="W499" i="2" s="1"/>
  <c r="AD499" i="2" s="1"/>
  <c r="Y619" i="2"/>
  <c r="Z619" i="2" s="1"/>
  <c r="X619" i="2" a="1"/>
  <c r="X619" i="2" s="1"/>
  <c r="T665" i="2"/>
  <c r="V665" i="2" s="1"/>
  <c r="W665" i="2" s="1"/>
  <c r="U702" i="2"/>
  <c r="T702" i="2"/>
  <c r="U58" i="2"/>
  <c r="T72" i="2"/>
  <c r="V72" i="2" s="1"/>
  <c r="W72" i="2" s="1"/>
  <c r="X72" i="2" s="1" a="1"/>
  <c r="X72" i="2" s="1"/>
  <c r="U74" i="2"/>
  <c r="T102" i="2"/>
  <c r="T107" i="2"/>
  <c r="V107" i="2" s="1"/>
  <c r="W107" i="2" s="1"/>
  <c r="T111" i="2"/>
  <c r="V111" i="2" s="1"/>
  <c r="W111" i="2" s="1"/>
  <c r="AE111" i="2" s="1"/>
  <c r="T120" i="2"/>
  <c r="V120" i="2" s="1"/>
  <c r="W120" i="2" s="1"/>
  <c r="Y120" i="2" s="1"/>
  <c r="Z120" i="2" s="1"/>
  <c r="U122" i="2"/>
  <c r="T175" i="2"/>
  <c r="V175" i="2" s="1"/>
  <c r="W175" i="2" s="1"/>
  <c r="T192" i="2"/>
  <c r="V192" i="2" s="1"/>
  <c r="W192" i="2" s="1"/>
  <c r="AE192" i="2" s="1"/>
  <c r="T311" i="2"/>
  <c r="V311" i="2" s="1"/>
  <c r="W311" i="2" s="1"/>
  <c r="AE311" i="2" s="1"/>
  <c r="U313" i="2"/>
  <c r="T380" i="2"/>
  <c r="V380" i="2" s="1"/>
  <c r="W380" i="2" s="1"/>
  <c r="T426" i="2"/>
  <c r="V426" i="2" s="1"/>
  <c r="W426" i="2" s="1"/>
  <c r="AD426" i="2" s="1"/>
  <c r="T466" i="2"/>
  <c r="U487" i="2"/>
  <c r="T517" i="2"/>
  <c r="V517" i="2" s="1"/>
  <c r="W517" i="2" s="1"/>
  <c r="T558" i="2"/>
  <c r="U558" i="2"/>
  <c r="U566" i="2"/>
  <c r="V566" i="2" s="1"/>
  <c r="W566" i="2" s="1"/>
  <c r="X590" i="2" a="1"/>
  <c r="X590" i="2" s="1"/>
  <c r="Y590" i="2"/>
  <c r="Z590" i="2" s="1"/>
  <c r="U643" i="2"/>
  <c r="T643" i="2"/>
  <c r="T26" i="2"/>
  <c r="T42" i="2"/>
  <c r="V42" i="2" s="1"/>
  <c r="W42" i="2" s="1"/>
  <c r="U26" i="2"/>
  <c r="T206" i="2"/>
  <c r="T235" i="2"/>
  <c r="V235" i="2" s="1"/>
  <c r="W235" i="2" s="1"/>
  <c r="V464" i="2"/>
  <c r="W464" i="2" s="1"/>
  <c r="AD464" i="2" s="1"/>
  <c r="U588" i="2"/>
  <c r="T588" i="2"/>
  <c r="T38" i="2"/>
  <c r="T54" i="2"/>
  <c r="U70" i="2"/>
  <c r="T98" i="2"/>
  <c r="T100" i="2"/>
  <c r="V100" i="2" s="1"/>
  <c r="W100" i="2" s="1"/>
  <c r="T118" i="2"/>
  <c r="T123" i="2"/>
  <c r="V123" i="2" s="1"/>
  <c r="W123" i="2" s="1"/>
  <c r="X123" i="2" s="1" a="1"/>
  <c r="X123" i="2" s="1"/>
  <c r="T130" i="2"/>
  <c r="T136" i="2"/>
  <c r="V136" i="2" s="1"/>
  <c r="W136" i="2" s="1"/>
  <c r="Y136" i="2" s="1"/>
  <c r="Z136" i="2" s="1"/>
  <c r="T140" i="2"/>
  <c r="V140" i="2" s="1"/>
  <c r="W140" i="2" s="1"/>
  <c r="X140" i="2" s="1" a="1"/>
  <c r="X140" i="2" s="1"/>
  <c r="T157" i="2"/>
  <c r="V157" i="2" s="1"/>
  <c r="W157" i="2" s="1"/>
  <c r="AD157" i="2" s="1"/>
  <c r="U206" i="2"/>
  <c r="T297" i="2"/>
  <c r="T398" i="2"/>
  <c r="V398" i="2" s="1"/>
  <c r="W398" i="2" s="1"/>
  <c r="AE398" i="2" s="1"/>
  <c r="T429" i="2"/>
  <c r="V429" i="2" s="1"/>
  <c r="W429" i="2" s="1"/>
  <c r="V482" i="2"/>
  <c r="W482" i="2" s="1"/>
  <c r="Y548" i="2"/>
  <c r="Z548" i="2" s="1"/>
  <c r="X548" i="2" a="1"/>
  <c r="X548" i="2" s="1"/>
  <c r="T559" i="2"/>
  <c r="V559" i="2" s="1"/>
  <c r="W559" i="2" s="1"/>
  <c r="T561" i="2"/>
  <c r="V561" i="2" s="1"/>
  <c r="W561" i="2" s="1"/>
  <c r="T615" i="2"/>
  <c r="V615" i="2" s="1"/>
  <c r="W615" i="2" s="1"/>
  <c r="T631" i="2"/>
  <c r="T705" i="2"/>
  <c r="V705" i="2" s="1"/>
  <c r="W705" i="2" s="1"/>
  <c r="U757" i="2"/>
  <c r="T757" i="2"/>
  <c r="V757" i="2" s="1"/>
  <c r="W757" i="2" s="1"/>
  <c r="AD757" i="2" s="1"/>
  <c r="T24" i="2"/>
  <c r="V24" i="2" s="1"/>
  <c r="W24" i="2" s="1"/>
  <c r="T155" i="2"/>
  <c r="V155" i="2" s="1"/>
  <c r="W155" i="2" s="1"/>
  <c r="U617" i="2"/>
  <c r="T617" i="2"/>
  <c r="T10" i="2"/>
  <c r="U38" i="2"/>
  <c r="T66" i="2"/>
  <c r="T82" i="2"/>
  <c r="T114" i="2"/>
  <c r="V114" i="2" s="1"/>
  <c r="W114" i="2" s="1"/>
  <c r="T150" i="2"/>
  <c r="V150" i="2" s="1"/>
  <c r="W150" i="2" s="1"/>
  <c r="T178" i="2"/>
  <c r="V178" i="2" s="1"/>
  <c r="W178" i="2" s="1"/>
  <c r="Y178" i="2" s="1"/>
  <c r="Z178" i="2" s="1"/>
  <c r="T182" i="2"/>
  <c r="V182" i="2" s="1"/>
  <c r="W182" i="2" s="1"/>
  <c r="T186" i="2"/>
  <c r="V186" i="2" s="1"/>
  <c r="W186" i="2" s="1"/>
  <c r="T295" i="2"/>
  <c r="V295" i="2" s="1"/>
  <c r="W295" i="2" s="1"/>
  <c r="U297" i="2"/>
  <c r="Y364" i="2"/>
  <c r="Z364" i="2" s="1"/>
  <c r="X364" i="2" a="1"/>
  <c r="X364" i="2" s="1"/>
  <c r="T410" i="2"/>
  <c r="T417" i="2"/>
  <c r="V417" i="2" s="1"/>
  <c r="W417" i="2" s="1"/>
  <c r="T422" i="2"/>
  <c r="V422" i="2" s="1"/>
  <c r="W422" i="2" s="1"/>
  <c r="Y422" i="2" s="1"/>
  <c r="Z422" i="2" s="1"/>
  <c r="T449" i="2"/>
  <c r="V449" i="2" s="1"/>
  <c r="W449" i="2" s="1"/>
  <c r="T476" i="2"/>
  <c r="V476" i="2" s="1"/>
  <c r="W476" i="2" s="1"/>
  <c r="T480" i="2"/>
  <c r="V480" i="2" s="1"/>
  <c r="W480" i="2" s="1"/>
  <c r="T544" i="2"/>
  <c r="V544" i="2" s="1"/>
  <c r="W544" i="2" s="1"/>
  <c r="U694" i="2"/>
  <c r="V694" i="2" s="1"/>
  <c r="W694" i="2" s="1"/>
  <c r="T701" i="2"/>
  <c r="V701" i="2" s="1"/>
  <c r="W701" i="2" s="1"/>
  <c r="T718" i="2"/>
  <c r="V718" i="2" s="1"/>
  <c r="W718" i="2" s="1"/>
  <c r="T742" i="2"/>
  <c r="U742" i="2"/>
  <c r="U22" i="2"/>
  <c r="V22" i="2" s="1"/>
  <c r="W22" i="2" s="1"/>
  <c r="U42" i="2"/>
  <c r="T91" i="2"/>
  <c r="V91" i="2" s="1"/>
  <c r="W91" i="2" s="1"/>
  <c r="T151" i="2"/>
  <c r="V151" i="2" s="1"/>
  <c r="W151" i="2" s="1"/>
  <c r="Y151" i="2" s="1"/>
  <c r="Z151" i="2" s="1"/>
  <c r="T16" i="2"/>
  <c r="V16" i="2" s="1"/>
  <c r="W16" i="2" s="1"/>
  <c r="X16" i="2" s="1" a="1"/>
  <c r="X16" i="2" s="1"/>
  <c r="T218" i="2"/>
  <c r="V218" i="2" s="1"/>
  <c r="W218" i="2" s="1"/>
  <c r="AD218" i="2" s="1"/>
  <c r="T222" i="2"/>
  <c r="V240" i="2"/>
  <c r="W240" i="2" s="1"/>
  <c r="X240" i="2" s="1" a="1"/>
  <c r="X240" i="2" s="1"/>
  <c r="T242" i="2"/>
  <c r="V242" i="2" s="1"/>
  <c r="W242" i="2" s="1"/>
  <c r="Y242" i="2" s="1"/>
  <c r="Z242" i="2" s="1"/>
  <c r="V281" i="2"/>
  <c r="W281" i="2" s="1"/>
  <c r="X529" i="2" a="1"/>
  <c r="X529" i="2" s="1"/>
  <c r="T62" i="2"/>
  <c r="T64" i="2"/>
  <c r="V64" i="2" s="1"/>
  <c r="W64" i="2" s="1"/>
  <c r="T78" i="2"/>
  <c r="T92" i="2"/>
  <c r="V92" i="2" s="1"/>
  <c r="W92" i="2" s="1"/>
  <c r="X92" i="2" s="1" a="1"/>
  <c r="X92" i="2" s="1"/>
  <c r="T106" i="2"/>
  <c r="T110" i="2"/>
  <c r="V110" i="2" s="1"/>
  <c r="W110" i="2" s="1"/>
  <c r="AE110" i="2" s="1"/>
  <c r="T126" i="2"/>
  <c r="U146" i="2"/>
  <c r="V146" i="2" s="1"/>
  <c r="W146" i="2" s="1"/>
  <c r="T152" i="2"/>
  <c r="V152" i="2" s="1"/>
  <c r="W152" i="2" s="1"/>
  <c r="X152" i="2" s="1" a="1"/>
  <c r="X152" i="2" s="1"/>
  <c r="T160" i="2"/>
  <c r="V160" i="2" s="1"/>
  <c r="W160" i="2" s="1"/>
  <c r="X160" i="2" s="1" a="1"/>
  <c r="X160" i="2" s="1"/>
  <c r="T168" i="2"/>
  <c r="V168" i="2" s="1"/>
  <c r="W168" i="2" s="1"/>
  <c r="AE168" i="2" s="1"/>
  <c r="U170" i="2"/>
  <c r="V170" i="2" s="1"/>
  <c r="W170" i="2" s="1"/>
  <c r="AD170" i="2" s="1"/>
  <c r="Y176" i="2"/>
  <c r="Z176" i="2" s="1"/>
  <c r="T196" i="2"/>
  <c r="V196" i="2" s="1"/>
  <c r="W196" i="2" s="1"/>
  <c r="X196" i="2" s="1" a="1"/>
  <c r="X196" i="2" s="1"/>
  <c r="T224" i="2"/>
  <c r="V224" i="2" s="1"/>
  <c r="W224" i="2" s="1"/>
  <c r="T226" i="2"/>
  <c r="V226" i="2" s="1"/>
  <c r="W226" i="2" s="1"/>
  <c r="T230" i="2"/>
  <c r="T234" i="2"/>
  <c r="V234" i="2" s="1"/>
  <c r="W234" i="2" s="1"/>
  <c r="Y234" i="2" s="1"/>
  <c r="Z234" i="2" s="1"/>
  <c r="T236" i="2"/>
  <c r="V236" i="2" s="1"/>
  <c r="W236" i="2" s="1"/>
  <c r="AD236" i="2" s="1"/>
  <c r="T289" i="2"/>
  <c r="V289" i="2" s="1"/>
  <c r="W289" i="2" s="1"/>
  <c r="AD289" i="2" s="1"/>
  <c r="T327" i="2"/>
  <c r="V327" i="2" s="1"/>
  <c r="W327" i="2" s="1"/>
  <c r="U329" i="2"/>
  <c r="T339" i="2"/>
  <c r="V339" i="2" s="1"/>
  <c r="W339" i="2" s="1"/>
  <c r="T384" i="2"/>
  <c r="V384" i="2" s="1"/>
  <c r="W384" i="2" s="1"/>
  <c r="V406" i="2"/>
  <c r="W406" i="2" s="1"/>
  <c r="Y406" i="2" s="1"/>
  <c r="Z406" i="2" s="1"/>
  <c r="T472" i="2"/>
  <c r="V472" i="2" s="1"/>
  <c r="W472" i="2" s="1"/>
  <c r="T489" i="2"/>
  <c r="V489" i="2" s="1"/>
  <c r="W489" i="2" s="1"/>
  <c r="AD489" i="2" s="1"/>
  <c r="T518" i="2"/>
  <c r="V518" i="2" s="1"/>
  <c r="W518" i="2" s="1"/>
  <c r="AD518" i="2" s="1"/>
  <c r="T549" i="2"/>
  <c r="V549" i="2" s="1"/>
  <c r="W549" i="2" s="1"/>
  <c r="T553" i="2"/>
  <c r="V553" i="2" s="1"/>
  <c r="W553" i="2" s="1"/>
  <c r="T557" i="2"/>
  <c r="V557" i="2" s="1"/>
  <c r="W557" i="2" s="1"/>
  <c r="T575" i="2"/>
  <c r="V575" i="2" s="1"/>
  <c r="W575" i="2" s="1"/>
  <c r="T637" i="2"/>
  <c r="V637" i="2" s="1"/>
  <c r="W637" i="2" s="1"/>
  <c r="T645" i="2"/>
  <c r="V645" i="2" s="1"/>
  <c r="W645" i="2" s="1"/>
  <c r="T660" i="2"/>
  <c r="V660" i="2" s="1"/>
  <c r="W660" i="2" s="1"/>
  <c r="Y660" i="2" s="1"/>
  <c r="Z660" i="2" s="1"/>
  <c r="T681" i="2"/>
  <c r="V681" i="2" s="1"/>
  <c r="W681" i="2" s="1"/>
  <c r="AE681" i="2" s="1"/>
  <c r="U681" i="2"/>
  <c r="T709" i="2"/>
  <c r="V709" i="2" s="1"/>
  <c r="W709" i="2" s="1"/>
  <c r="U721" i="2"/>
  <c r="T721" i="2"/>
  <c r="T30" i="2"/>
  <c r="T32" i="2"/>
  <c r="V32" i="2" s="1"/>
  <c r="W32" i="2" s="1"/>
  <c r="T60" i="2"/>
  <c r="V60" i="2" s="1"/>
  <c r="W60" i="2" s="1"/>
  <c r="Y60" i="2" s="1"/>
  <c r="Z60" i="2" s="1"/>
  <c r="T76" i="2"/>
  <c r="V76" i="2" s="1"/>
  <c r="W76" i="2" s="1"/>
  <c r="X76" i="2" s="1" a="1"/>
  <c r="X76" i="2" s="1"/>
  <c r="T104" i="2"/>
  <c r="V104" i="2" s="1"/>
  <c r="W104" i="2" s="1"/>
  <c r="T124" i="2"/>
  <c r="V124" i="2" s="1"/>
  <c r="W124" i="2" s="1"/>
  <c r="Y124" i="2" s="1"/>
  <c r="Z124" i="2" s="1"/>
  <c r="T135" i="2"/>
  <c r="V135" i="2" s="1"/>
  <c r="W135" i="2" s="1"/>
  <c r="T139" i="2"/>
  <c r="V139" i="2" s="1"/>
  <c r="W139" i="2" s="1"/>
  <c r="V162" i="2"/>
  <c r="W162" i="2" s="1"/>
  <c r="T164" i="2"/>
  <c r="V164" i="2" s="1"/>
  <c r="W164" i="2" s="1"/>
  <c r="V166" i="2"/>
  <c r="W166" i="2" s="1"/>
  <c r="Y166" i="2" s="1"/>
  <c r="Z166" i="2" s="1"/>
  <c r="T280" i="2"/>
  <c r="V280" i="2" s="1"/>
  <c r="W280" i="2" s="1"/>
  <c r="X280" i="2" s="1" a="1"/>
  <c r="X280" i="2" s="1"/>
  <c r="V374" i="2"/>
  <c r="W374" i="2" s="1"/>
  <c r="T418" i="2"/>
  <c r="V418" i="2" s="1"/>
  <c r="W418" i="2" s="1"/>
  <c r="Y418" i="2" s="1"/>
  <c r="Z418" i="2" s="1"/>
  <c r="T481" i="2"/>
  <c r="V481" i="2" s="1"/>
  <c r="W481" i="2" s="1"/>
  <c r="T483" i="2"/>
  <c r="V483" i="2" s="1"/>
  <c r="W483" i="2" s="1"/>
  <c r="AD483" i="2" s="1"/>
  <c r="T496" i="2"/>
  <c r="V496" i="2" s="1"/>
  <c r="W496" i="2" s="1"/>
  <c r="V609" i="2"/>
  <c r="W609" i="2" s="1"/>
  <c r="U676" i="2"/>
  <c r="T676" i="2"/>
  <c r="T693" i="2"/>
  <c r="V693" i="2" s="1"/>
  <c r="W693" i="2" s="1"/>
  <c r="Y693" i="2" s="1"/>
  <c r="Z693" i="2" s="1"/>
  <c r="T748" i="2"/>
  <c r="V748" i="2" s="1"/>
  <c r="W748" i="2" s="1"/>
  <c r="AE748" i="2" s="1"/>
  <c r="T551" i="2"/>
  <c r="V551" i="2" s="1"/>
  <c r="W551" i="2" s="1"/>
  <c r="AD551" i="2" s="1"/>
  <c r="T556" i="2"/>
  <c r="V556" i="2" s="1"/>
  <c r="W556" i="2" s="1"/>
  <c r="T658" i="2"/>
  <c r="T667" i="2"/>
  <c r="V667" i="2" s="1"/>
  <c r="W667" i="2" s="1"/>
  <c r="T707" i="2"/>
  <c r="V707" i="2" s="1"/>
  <c r="W707" i="2" s="1"/>
  <c r="AD707" i="2" s="1"/>
  <c r="T713" i="2"/>
  <c r="V713" i="2" s="1"/>
  <c r="W713" i="2" s="1"/>
  <c r="T736" i="2"/>
  <c r="V736" i="2" s="1"/>
  <c r="W736" i="2" s="1"/>
  <c r="T744" i="2"/>
  <c r="V744" i="2" s="1"/>
  <c r="W744" i="2" s="1"/>
  <c r="T632" i="2"/>
  <c r="V632" i="2" s="1"/>
  <c r="W632" i="2" s="1"/>
  <c r="T634" i="2"/>
  <c r="V634" i="2" s="1"/>
  <c r="W634" i="2" s="1"/>
  <c r="T768" i="2"/>
  <c r="V768" i="2" s="1"/>
  <c r="W768" i="2" s="1"/>
  <c r="AE768" i="2" s="1"/>
  <c r="T770" i="2"/>
  <c r="T677" i="2"/>
  <c r="T747" i="2"/>
  <c r="V747" i="2" s="1"/>
  <c r="W747" i="2" s="1"/>
  <c r="Y747" i="2" s="1"/>
  <c r="Z747" i="2" s="1"/>
  <c r="T764" i="2"/>
  <c r="V764" i="2" s="1"/>
  <c r="W764" i="2" s="1"/>
  <c r="T766" i="2"/>
  <c r="U770" i="2"/>
  <c r="T238" i="2"/>
  <c r="T287" i="2"/>
  <c r="V287" i="2" s="1"/>
  <c r="W287" i="2" s="1"/>
  <c r="T303" i="2"/>
  <c r="V303" i="2" s="1"/>
  <c r="W303" i="2" s="1"/>
  <c r="T319" i="2"/>
  <c r="V319" i="2" s="1"/>
  <c r="W319" i="2" s="1"/>
  <c r="AD319" i="2" s="1"/>
  <c r="T335" i="2"/>
  <c r="V335" i="2" s="1"/>
  <c r="W335" i="2" s="1"/>
  <c r="AD335" i="2" s="1"/>
  <c r="T369" i="2"/>
  <c r="V369" i="2" s="1"/>
  <c r="W369" i="2" s="1"/>
  <c r="X369" i="2" s="1" a="1"/>
  <c r="X369" i="2" s="1"/>
  <c r="T408" i="2"/>
  <c r="V408" i="2" s="1"/>
  <c r="W408" i="2" s="1"/>
  <c r="T416" i="2"/>
  <c r="V416" i="2" s="1"/>
  <c r="W416" i="2" s="1"/>
  <c r="T436" i="2"/>
  <c r="V436" i="2" s="1"/>
  <c r="W436" i="2" s="1"/>
  <c r="T492" i="2"/>
  <c r="V492" i="2" s="1"/>
  <c r="W492" i="2" s="1"/>
  <c r="X492" i="2" s="1" a="1"/>
  <c r="X492" i="2" s="1"/>
  <c r="T508" i="2"/>
  <c r="T510" i="2"/>
  <c r="V510" i="2" s="1"/>
  <c r="W510" i="2" s="1"/>
  <c r="Y510" i="2" s="1"/>
  <c r="Z510" i="2" s="1"/>
  <c r="T533" i="2"/>
  <c r="V533" i="2" s="1"/>
  <c r="W533" i="2" s="1"/>
  <c r="AE533" i="2" s="1"/>
  <c r="T537" i="2"/>
  <c r="V537" i="2" s="1"/>
  <c r="W537" i="2" s="1"/>
  <c r="T571" i="2"/>
  <c r="V571" i="2" s="1"/>
  <c r="W571" i="2" s="1"/>
  <c r="AD571" i="2" s="1"/>
  <c r="T607" i="2"/>
  <c r="V607" i="2" s="1"/>
  <c r="W607" i="2" s="1"/>
  <c r="T646" i="2"/>
  <c r="V646" i="2" s="1"/>
  <c r="W646" i="2" s="1"/>
  <c r="X646" i="2" s="1" a="1"/>
  <c r="X646" i="2" s="1"/>
  <c r="T648" i="2"/>
  <c r="V648" i="2" s="1"/>
  <c r="W648" i="2" s="1"/>
  <c r="AE648" i="2" s="1"/>
  <c r="T650" i="2"/>
  <c r="V650" i="2" s="1"/>
  <c r="W650" i="2" s="1"/>
  <c r="T668" i="2"/>
  <c r="V668" i="2" s="1"/>
  <c r="W668" i="2" s="1"/>
  <c r="AE668" i="2" s="1"/>
  <c r="T672" i="2"/>
  <c r="V672" i="2" s="1"/>
  <c r="W672" i="2" s="1"/>
  <c r="AE672" i="2" s="1"/>
  <c r="U677" i="2"/>
  <c r="T706" i="2"/>
  <c r="V706" i="2" s="1"/>
  <c r="W706" i="2" s="1"/>
  <c r="T737" i="2"/>
  <c r="V737" i="2" s="1"/>
  <c r="W737" i="2" s="1"/>
  <c r="AD737" i="2" s="1"/>
  <c r="T739" i="2"/>
  <c r="V739" i="2" s="1"/>
  <c r="W739" i="2" s="1"/>
  <c r="T756" i="2"/>
  <c r="V756" i="2" s="1"/>
  <c r="W756" i="2" s="1"/>
  <c r="AE756" i="2" s="1"/>
  <c r="T760" i="2"/>
  <c r="V760" i="2" s="1"/>
  <c r="W760" i="2" s="1"/>
  <c r="T762" i="2"/>
  <c r="V762" i="2" s="1"/>
  <c r="W762" i="2" s="1"/>
  <c r="AD762" i="2" s="1"/>
  <c r="U766" i="2"/>
  <c r="T581" i="2"/>
  <c r="V581" i="2" s="1"/>
  <c r="W581" i="2" s="1"/>
  <c r="T625" i="2"/>
  <c r="V625" i="2" s="1"/>
  <c r="W625" i="2" s="1"/>
  <c r="T682" i="2"/>
  <c r="V682" i="2" s="1"/>
  <c r="W682" i="2" s="1"/>
  <c r="T686" i="2"/>
  <c r="V686" i="2" s="1"/>
  <c r="W686" i="2" s="1"/>
  <c r="V698" i="2"/>
  <c r="W698" i="2" s="1"/>
  <c r="T752" i="2"/>
  <c r="V752" i="2" s="1"/>
  <c r="W752" i="2" s="1"/>
  <c r="T248" i="2"/>
  <c r="T250" i="2"/>
  <c r="V250" i="2" s="1"/>
  <c r="W250" i="2" s="1"/>
  <c r="Y250" i="2" s="1"/>
  <c r="Z250" i="2" s="1"/>
  <c r="T254" i="2"/>
  <c r="T400" i="2"/>
  <c r="V400" i="2" s="1"/>
  <c r="W400" i="2" s="1"/>
  <c r="Y400" i="2" s="1"/>
  <c r="Z400" i="2" s="1"/>
  <c r="T423" i="2"/>
  <c r="T440" i="2"/>
  <c r="V440" i="2" s="1"/>
  <c r="W440" i="2" s="1"/>
  <c r="T446" i="2"/>
  <c r="T456" i="2"/>
  <c r="V456" i="2" s="1"/>
  <c r="W456" i="2" s="1"/>
  <c r="T514" i="2"/>
  <c r="V514" i="2" s="1"/>
  <c r="W514" i="2" s="1"/>
  <c r="Y514" i="2" s="1"/>
  <c r="Z514" i="2" s="1"/>
  <c r="T633" i="2"/>
  <c r="V633" i="2" s="1"/>
  <c r="W633" i="2" s="1"/>
  <c r="AE633" i="2" s="1"/>
  <c r="T635" i="2"/>
  <c r="V635" i="2" s="1"/>
  <c r="W635" i="2" s="1"/>
  <c r="T641" i="2"/>
  <c r="V641" i="2" s="1"/>
  <c r="W641" i="2" s="1"/>
  <c r="T653" i="2"/>
  <c r="T661" i="2"/>
  <c r="V661" i="2" s="1"/>
  <c r="W661" i="2" s="1"/>
  <c r="AD661" i="2" s="1"/>
  <c r="T678" i="2"/>
  <c r="V678" i="2" s="1"/>
  <c r="W678" i="2" s="1"/>
  <c r="U754" i="2"/>
  <c r="T758" i="2"/>
  <c r="P27" i="1"/>
  <c r="P5" i="1"/>
  <c r="P11" i="1"/>
  <c r="P12" i="1"/>
  <c r="P21" i="1"/>
  <c r="P29" i="1"/>
  <c r="P4" i="1"/>
  <c r="P37" i="1"/>
  <c r="P17" i="1"/>
  <c r="P9" i="1"/>
  <c r="P7" i="1"/>
  <c r="P25" i="1"/>
  <c r="R25" i="1" s="1"/>
  <c r="S25" i="1" s="1"/>
  <c r="T25" i="1" s="1"/>
  <c r="U25" i="1" s="1"/>
  <c r="O88" i="1" s="1"/>
  <c r="P16" i="1"/>
  <c r="Q16" i="1"/>
  <c r="P31" i="1"/>
  <c r="Q31" i="1"/>
  <c r="P10" i="1"/>
  <c r="Q10" i="1"/>
  <c r="P24" i="1"/>
  <c r="P13" i="1"/>
  <c r="P15" i="1"/>
  <c r="P6" i="1"/>
  <c r="P8" i="1"/>
  <c r="P26" i="1"/>
  <c r="R26" i="1" s="1"/>
  <c r="S26" i="1" s="1"/>
  <c r="T26" i="1" s="1"/>
  <c r="U26" i="1" s="1"/>
  <c r="O59" i="1" s="1"/>
  <c r="Q6" i="1"/>
  <c r="P28" i="1"/>
  <c r="P19" i="1"/>
  <c r="P3" i="1"/>
  <c r="R3" i="1" s="1"/>
  <c r="S3" i="1" s="1"/>
  <c r="T3" i="1" s="1"/>
  <c r="U3" i="1" s="1"/>
  <c r="O53" i="1" s="1"/>
  <c r="P53" i="1" s="1"/>
  <c r="P2" i="1"/>
  <c r="R2" i="1" s="1"/>
  <c r="S2" i="1" s="1"/>
  <c r="T2" i="1" s="1"/>
  <c r="U2" i="1" s="1"/>
  <c r="O52" i="1" s="1"/>
  <c r="Q29" i="1"/>
  <c r="Q11" i="1"/>
  <c r="Q12" i="1"/>
  <c r="P14" i="1"/>
  <c r="P32" i="1"/>
  <c r="P34" i="1"/>
  <c r="R34" i="1" s="1"/>
  <c r="S34" i="1" s="1"/>
  <c r="T34" i="1" s="1"/>
  <c r="U34" i="1" s="1"/>
  <c r="O66" i="1" s="1"/>
  <c r="Q17" i="1"/>
  <c r="Q5" i="1"/>
  <c r="Q9" i="1"/>
  <c r="P20" i="1"/>
  <c r="R20" i="1" s="1"/>
  <c r="S20" i="1" s="1"/>
  <c r="T20" i="1" s="1"/>
  <c r="U20" i="1" s="1"/>
  <c r="P36" i="1"/>
  <c r="Q24" i="1"/>
  <c r="Q36" i="1"/>
  <c r="P18" i="1"/>
  <c r="Q15" i="1"/>
  <c r="Q7" i="1"/>
  <c r="P23" i="1"/>
  <c r="P30" i="1"/>
  <c r="Q13" i="1"/>
  <c r="Q19" i="1"/>
  <c r="Q18" i="1"/>
  <c r="Q27" i="1"/>
  <c r="Q28" i="1"/>
  <c r="Q32" i="1"/>
  <c r="Q23" i="1"/>
  <c r="Q30" i="1"/>
  <c r="P35" i="1"/>
  <c r="R35" i="1" s="1"/>
  <c r="S35" i="1" s="1"/>
  <c r="T35" i="1" s="1"/>
  <c r="U35" i="1" s="1"/>
  <c r="P33" i="1"/>
  <c r="R33" i="1" s="1"/>
  <c r="S33" i="1" s="1"/>
  <c r="T33" i="1" s="1"/>
  <c r="U33" i="1" s="1"/>
  <c r="O65" i="1" s="1"/>
  <c r="P22" i="1"/>
  <c r="R22" i="1" s="1"/>
  <c r="S22" i="1" s="1"/>
  <c r="T22" i="1" s="1"/>
  <c r="U22" i="1" s="1"/>
  <c r="O86" i="1" s="1"/>
  <c r="Q14" i="1"/>
  <c r="Q21" i="1"/>
  <c r="Q4" i="1"/>
  <c r="Q37" i="1"/>
  <c r="Q8" i="1"/>
  <c r="Y16" i="2"/>
  <c r="Z16" i="2" s="1"/>
  <c r="U23" i="2"/>
  <c r="T23" i="2"/>
  <c r="V4" i="2"/>
  <c r="W4" i="2" s="1"/>
  <c r="AE4" i="2" s="1"/>
  <c r="U15" i="2"/>
  <c r="T15" i="2"/>
  <c r="V15" i="2" s="1"/>
  <c r="W15" i="2" s="1"/>
  <c r="Y123" i="2"/>
  <c r="Z123" i="2" s="1"/>
  <c r="X136" i="2" a="1"/>
  <c r="X136" i="2" s="1"/>
  <c r="X88" i="2" a="1"/>
  <c r="X88" i="2" s="1"/>
  <c r="Y88" i="2"/>
  <c r="Z88" i="2" s="1"/>
  <c r="V10" i="2"/>
  <c r="W10" i="2" s="1"/>
  <c r="X8" i="2" a="1"/>
  <c r="X8" i="2" s="1"/>
  <c r="X25" i="2" a="1"/>
  <c r="X25" i="2" s="1"/>
  <c r="Y25" i="2"/>
  <c r="Z25" i="2" s="1"/>
  <c r="Y152" i="2"/>
  <c r="Z152" i="2" s="1"/>
  <c r="T7" i="2"/>
  <c r="V7" i="2" s="1"/>
  <c r="W7" i="2" s="1"/>
  <c r="T9" i="2"/>
  <c r="V9" i="2" s="1"/>
  <c r="W9" i="2" s="1"/>
  <c r="U11" i="2"/>
  <c r="T11" i="2"/>
  <c r="U19" i="2"/>
  <c r="T19" i="2"/>
  <c r="X60" i="2" a="1"/>
  <c r="X60" i="2" s="1"/>
  <c r="X104" i="2" a="1"/>
  <c r="X104" i="2" s="1"/>
  <c r="Y104" i="2"/>
  <c r="Z104" i="2" s="1"/>
  <c r="X124" i="2" a="1"/>
  <c r="X124" i="2" s="1"/>
  <c r="Y135" i="2"/>
  <c r="Z135" i="2" s="1"/>
  <c r="X164" i="2" a="1"/>
  <c r="X164" i="2" s="1"/>
  <c r="Y164" i="2"/>
  <c r="Z164" i="2" s="1"/>
  <c r="X28" i="2" a="1"/>
  <c r="X28" i="2" s="1"/>
  <c r="Y28" i="2"/>
  <c r="Z28" i="2" s="1"/>
  <c r="X56" i="2" a="1"/>
  <c r="X56" i="2" s="1"/>
  <c r="Y56" i="2"/>
  <c r="Z56" i="2" s="1"/>
  <c r="X111" i="2" a="1"/>
  <c r="X111" i="2" s="1"/>
  <c r="X120" i="2" a="1"/>
  <c r="X120" i="2" s="1"/>
  <c r="Y147" i="2"/>
  <c r="Z147" i="2" s="1"/>
  <c r="X147" i="2" a="1"/>
  <c r="X147" i="2" s="1"/>
  <c r="Y12" i="2"/>
  <c r="Z12" i="2" s="1"/>
  <c r="X12" i="2" a="1"/>
  <c r="X12" i="2" s="1"/>
  <c r="Y20" i="2"/>
  <c r="Z20" i="2" s="1"/>
  <c r="X20" i="2" a="1"/>
  <c r="X20" i="2" s="1"/>
  <c r="X40" i="2" a="1"/>
  <c r="X40" i="2" s="1"/>
  <c r="Y40" i="2"/>
  <c r="Z40" i="2" s="1"/>
  <c r="X155" i="2" a="1"/>
  <c r="X155" i="2" s="1"/>
  <c r="Y155" i="2"/>
  <c r="Z155" i="2" s="1"/>
  <c r="X68" i="2" a="1"/>
  <c r="X68" i="2" s="1"/>
  <c r="Y68" i="2"/>
  <c r="Z68" i="2" s="1"/>
  <c r="U93" i="2"/>
  <c r="T93" i="2"/>
  <c r="V118" i="2"/>
  <c r="W118" i="2" s="1"/>
  <c r="AE118" i="2" s="1"/>
  <c r="U41" i="2"/>
  <c r="T41" i="2"/>
  <c r="U54" i="2"/>
  <c r="U67" i="2"/>
  <c r="T67" i="2"/>
  <c r="U118" i="2"/>
  <c r="U141" i="2"/>
  <c r="T141" i="2"/>
  <c r="Y161" i="2"/>
  <c r="Z161" i="2" s="1"/>
  <c r="X161" i="2" a="1"/>
  <c r="X161" i="2" s="1"/>
  <c r="T174" i="2"/>
  <c r="V174" i="2" s="1"/>
  <c r="W174" i="2" s="1"/>
  <c r="AE174" i="2" s="1"/>
  <c r="U174" i="2"/>
  <c r="AD5" i="2"/>
  <c r="AF5" i="2" s="1"/>
  <c r="U6" i="2"/>
  <c r="V6" i="2" s="1"/>
  <c r="W6" i="2" s="1"/>
  <c r="U10" i="2"/>
  <c r="T14" i="2"/>
  <c r="V14" i="2" s="1"/>
  <c r="W14" i="2" s="1"/>
  <c r="AE14" i="2" s="1"/>
  <c r="T18" i="2"/>
  <c r="V18" i="2" s="1"/>
  <c r="W18" i="2" s="1"/>
  <c r="AD18" i="2" s="1"/>
  <c r="U34" i="2"/>
  <c r="V34" i="2" s="1"/>
  <c r="W34" i="2" s="1"/>
  <c r="V46" i="2"/>
  <c r="W46" i="2" s="1"/>
  <c r="U47" i="2"/>
  <c r="T47" i="2"/>
  <c r="U53" i="2"/>
  <c r="T53" i="2"/>
  <c r="U66" i="2"/>
  <c r="V78" i="2"/>
  <c r="W78" i="2" s="1"/>
  <c r="AD78" i="2" s="1"/>
  <c r="U79" i="2"/>
  <c r="T79" i="2"/>
  <c r="U85" i="2"/>
  <c r="T85" i="2"/>
  <c r="U98" i="2"/>
  <c r="V98" i="2" s="1"/>
  <c r="W98" i="2" s="1"/>
  <c r="T103" i="2"/>
  <c r="V103" i="2" s="1"/>
  <c r="W103" i="2" s="1"/>
  <c r="AE103" i="2" s="1"/>
  <c r="U117" i="2"/>
  <c r="T117" i="2"/>
  <c r="U130" i="2"/>
  <c r="V130" i="2" s="1"/>
  <c r="W130" i="2" s="1"/>
  <c r="X183" i="2" a="1"/>
  <c r="X183" i="2" s="1"/>
  <c r="U197" i="2"/>
  <c r="T197" i="2"/>
  <c r="X36" i="2" a="1"/>
  <c r="X36" i="2" s="1"/>
  <c r="Y36" i="2"/>
  <c r="Z36" i="2" s="1"/>
  <c r="Y107" i="2"/>
  <c r="Z107" i="2" s="1"/>
  <c r="X107" i="2" a="1"/>
  <c r="X107" i="2" s="1"/>
  <c r="AE20" i="2"/>
  <c r="AD25" i="2"/>
  <c r="AF25" i="2" s="1"/>
  <c r="T48" i="2"/>
  <c r="V48" i="2" s="1"/>
  <c r="W48" i="2" s="1"/>
  <c r="U73" i="2"/>
  <c r="T73" i="2"/>
  <c r="T80" i="2"/>
  <c r="V80" i="2" s="1"/>
  <c r="W80" i="2" s="1"/>
  <c r="AE80" i="2" s="1"/>
  <c r="U86" i="2"/>
  <c r="U105" i="2"/>
  <c r="T105" i="2"/>
  <c r="V105" i="2" s="1"/>
  <c r="W105" i="2" s="1"/>
  <c r="T112" i="2"/>
  <c r="V112" i="2" s="1"/>
  <c r="W112" i="2" s="1"/>
  <c r="AE5" i="2"/>
  <c r="U33" i="2"/>
  <c r="T33" i="2"/>
  <c r="V58" i="2"/>
  <c r="W58" i="2" s="1"/>
  <c r="U59" i="2"/>
  <c r="T59" i="2"/>
  <c r="U65" i="2"/>
  <c r="T65" i="2"/>
  <c r="T83" i="2"/>
  <c r="V83" i="2" s="1"/>
  <c r="W83" i="2" s="1"/>
  <c r="AE83" i="2" s="1"/>
  <c r="U97" i="2"/>
  <c r="T97" i="2"/>
  <c r="V97" i="2" s="1"/>
  <c r="W97" i="2" s="1"/>
  <c r="AD97" i="2" s="1"/>
  <c r="T115" i="2"/>
  <c r="V115" i="2" s="1"/>
  <c r="W115" i="2" s="1"/>
  <c r="AD115" i="2" s="1"/>
  <c r="V122" i="2"/>
  <c r="W122" i="2" s="1"/>
  <c r="U129" i="2"/>
  <c r="T129" i="2"/>
  <c r="V138" i="2"/>
  <c r="W138" i="2" s="1"/>
  <c r="U149" i="2"/>
  <c r="T149" i="2"/>
  <c r="T156" i="2"/>
  <c r="V156" i="2" s="1"/>
  <c r="W156" i="2" s="1"/>
  <c r="AE156" i="2" s="1"/>
  <c r="AE161" i="2"/>
  <c r="U167" i="2"/>
  <c r="T167" i="2"/>
  <c r="V167" i="2" s="1"/>
  <c r="W167" i="2" s="1"/>
  <c r="U187" i="2"/>
  <c r="T187" i="2"/>
  <c r="U191" i="2"/>
  <c r="T191" i="2"/>
  <c r="U195" i="2"/>
  <c r="T195" i="2"/>
  <c r="U201" i="2"/>
  <c r="T201" i="2"/>
  <c r="U267" i="2"/>
  <c r="T267" i="2"/>
  <c r="U61" i="2"/>
  <c r="T61" i="2"/>
  <c r="AE16" i="2"/>
  <c r="U35" i="2"/>
  <c r="T35" i="2"/>
  <c r="V35" i="2" s="1"/>
  <c r="W35" i="2" s="1"/>
  <c r="V26" i="2"/>
  <c r="W26" i="2" s="1"/>
  <c r="AE26" i="2" s="1"/>
  <c r="V38" i="2"/>
  <c r="W38" i="2" s="1"/>
  <c r="AE38" i="2" s="1"/>
  <c r="U39" i="2"/>
  <c r="T39" i="2"/>
  <c r="U45" i="2"/>
  <c r="T45" i="2"/>
  <c r="X52" i="2" a="1"/>
  <c r="X52" i="2" s="1"/>
  <c r="Y52" i="2"/>
  <c r="Z52" i="2" s="1"/>
  <c r="V70" i="2"/>
  <c r="W70" i="2" s="1"/>
  <c r="AD70" i="2" s="1"/>
  <c r="U71" i="2"/>
  <c r="T71" i="2"/>
  <c r="U77" i="2"/>
  <c r="T77" i="2"/>
  <c r="T95" i="2"/>
  <c r="V95" i="2" s="1"/>
  <c r="W95" i="2" s="1"/>
  <c r="AD105" i="2"/>
  <c r="U109" i="2"/>
  <c r="T109" i="2"/>
  <c r="T127" i="2"/>
  <c r="V127" i="2" s="1"/>
  <c r="W127" i="2" s="1"/>
  <c r="U137" i="2"/>
  <c r="T137" i="2"/>
  <c r="V137" i="2" s="1"/>
  <c r="W137" i="2" s="1"/>
  <c r="AD137" i="2" s="1"/>
  <c r="U163" i="2"/>
  <c r="T163" i="2"/>
  <c r="X184" i="2" a="1"/>
  <c r="X184" i="2" s="1"/>
  <c r="Y184" i="2"/>
  <c r="Z184" i="2" s="1"/>
  <c r="U225" i="2"/>
  <c r="T225" i="2"/>
  <c r="V225" i="2" s="1"/>
  <c r="W225" i="2" s="1"/>
  <c r="AE225" i="2" s="1"/>
  <c r="U57" i="2"/>
  <c r="T57" i="2"/>
  <c r="X64" i="2" a="1"/>
  <c r="X64" i="2" s="1"/>
  <c r="Y64" i="2"/>
  <c r="Z64" i="2" s="1"/>
  <c r="U89" i="2"/>
  <c r="T89" i="2"/>
  <c r="X96" i="2" a="1"/>
  <c r="X96" i="2" s="1"/>
  <c r="Y96" i="2"/>
  <c r="Z96" i="2" s="1"/>
  <c r="U102" i="2"/>
  <c r="V102" i="2" s="1"/>
  <c r="W102" i="2" s="1"/>
  <c r="U121" i="2"/>
  <c r="T121" i="2"/>
  <c r="T128" i="2"/>
  <c r="V128" i="2" s="1"/>
  <c r="W128" i="2" s="1"/>
  <c r="AE128" i="2" s="1"/>
  <c r="Y160" i="2"/>
  <c r="Z160" i="2" s="1"/>
  <c r="U171" i="2"/>
  <c r="T171" i="2"/>
  <c r="U173" i="2"/>
  <c r="T173" i="2"/>
  <c r="Y196" i="2"/>
  <c r="Z196" i="2" s="1"/>
  <c r="AE745" i="2"/>
  <c r="AE741" i="2"/>
  <c r="AE772" i="2"/>
  <c r="AE764" i="2"/>
  <c r="AE752" i="2"/>
  <c r="AF752" i="2" s="1"/>
  <c r="AE744" i="2"/>
  <c r="AE740" i="2"/>
  <c r="AD772" i="2"/>
  <c r="AD764" i="2"/>
  <c r="AD756" i="2"/>
  <c r="AD752" i="2"/>
  <c r="AD751" i="2"/>
  <c r="AD735" i="2"/>
  <c r="AE751" i="2"/>
  <c r="AD745" i="2"/>
  <c r="AE739" i="2"/>
  <c r="AE737" i="2"/>
  <c r="AE736" i="2"/>
  <c r="AE735" i="2"/>
  <c r="AD736" i="2"/>
  <c r="AD718" i="2"/>
  <c r="AD744" i="2"/>
  <c r="AF744" i="2" s="1"/>
  <c r="AD741" i="2"/>
  <c r="AD717" i="2"/>
  <c r="AF717" i="2" s="1"/>
  <c r="AD709" i="2"/>
  <c r="AD705" i="2"/>
  <c r="AF705" i="2" s="1"/>
  <c r="AF735" i="2"/>
  <c r="AD731" i="2"/>
  <c r="AD727" i="2"/>
  <c r="AD723" i="2"/>
  <c r="AF723" i="2" s="1"/>
  <c r="AD719" i="2"/>
  <c r="AD715" i="2"/>
  <c r="AF715" i="2" s="1"/>
  <c r="AE718" i="2"/>
  <c r="AD706" i="2"/>
  <c r="AF706" i="2" s="1"/>
  <c r="AD688" i="2"/>
  <c r="AF688" i="2" s="1"/>
  <c r="AE731" i="2"/>
  <c r="AE723" i="2"/>
  <c r="AE719" i="2"/>
  <c r="AE706" i="2"/>
  <c r="AE717" i="2"/>
  <c r="AE707" i="2"/>
  <c r="AF707" i="2" s="1"/>
  <c r="AE703" i="2"/>
  <c r="AE715" i="2"/>
  <c r="AD703" i="2"/>
  <c r="AE701" i="2"/>
  <c r="AE698" i="2"/>
  <c r="AE693" i="2"/>
  <c r="AD691" i="2"/>
  <c r="AF691" i="2" s="1"/>
  <c r="AE688" i="2"/>
  <c r="AD678" i="2"/>
  <c r="AE727" i="2"/>
  <c r="AE705" i="2"/>
  <c r="AE665" i="2"/>
  <c r="AE661" i="2"/>
  <c r="AD740" i="2"/>
  <c r="AD701" i="2"/>
  <c r="AE691" i="2"/>
  <c r="AD693" i="2"/>
  <c r="AF693" i="2" s="1"/>
  <c r="AE678" i="2"/>
  <c r="AF678" i="2" s="1"/>
  <c r="AD673" i="2"/>
  <c r="AF673" i="2" s="1"/>
  <c r="AD660" i="2"/>
  <c r="AD698" i="2"/>
  <c r="AF698" i="2" s="1"/>
  <c r="AE650" i="2"/>
  <c r="AE646" i="2"/>
  <c r="AE638" i="2"/>
  <c r="AD654" i="2"/>
  <c r="AD652" i="2"/>
  <c r="AD651" i="2"/>
  <c r="AD646" i="2"/>
  <c r="AF646" i="2" s="1"/>
  <c r="AE645" i="2"/>
  <c r="AD645" i="2"/>
  <c r="AE641" i="2"/>
  <c r="AE673" i="2"/>
  <c r="AE709" i="2"/>
  <c r="AE667" i="2"/>
  <c r="AD665" i="2"/>
  <c r="AD641" i="2"/>
  <c r="AE609" i="2"/>
  <c r="AE605" i="2"/>
  <c r="AE597" i="2"/>
  <c r="AE652" i="2"/>
  <c r="AE635" i="2"/>
  <c r="AE634" i="2"/>
  <c r="AD609" i="2"/>
  <c r="AF609" i="2" s="1"/>
  <c r="AD605" i="2"/>
  <c r="AF605" i="2" s="1"/>
  <c r="AD597" i="2"/>
  <c r="AF597" i="2" s="1"/>
  <c r="AD589" i="2"/>
  <c r="AD581" i="2"/>
  <c r="AD573" i="2"/>
  <c r="AD635" i="2"/>
  <c r="AD633" i="2"/>
  <c r="AE620" i="2"/>
  <c r="AD662" i="2"/>
  <c r="AE660" i="2"/>
  <c r="AE654" i="2"/>
  <c r="AF654" i="2" s="1"/>
  <c r="AE651" i="2"/>
  <c r="AE637" i="2"/>
  <c r="AD650" i="2"/>
  <c r="AD619" i="2"/>
  <c r="AD615" i="2"/>
  <c r="AD603" i="2"/>
  <c r="AD625" i="2"/>
  <c r="AE603" i="2"/>
  <c r="AE589" i="2"/>
  <c r="AD523" i="2"/>
  <c r="AD519" i="2"/>
  <c r="AE590" i="2"/>
  <c r="AF590" i="2" s="1"/>
  <c r="AD637" i="2"/>
  <c r="AF637" i="2" s="1"/>
  <c r="AE608" i="2"/>
  <c r="AD579" i="2"/>
  <c r="AE565" i="2"/>
  <c r="AE561" i="2"/>
  <c r="AF561" i="2" s="1"/>
  <c r="AE553" i="2"/>
  <c r="AE549" i="2"/>
  <c r="AE545" i="2"/>
  <c r="AE541" i="2"/>
  <c r="AE537" i="2"/>
  <c r="AD667" i="2"/>
  <c r="AF667" i="2" s="1"/>
  <c r="AE619" i="2"/>
  <c r="AD608" i="2"/>
  <c r="AF608" i="2" s="1"/>
  <c r="AD638" i="2"/>
  <c r="AE600" i="2"/>
  <c r="AE615" i="2"/>
  <c r="AD600" i="2"/>
  <c r="AF600" i="2" s="1"/>
  <c r="AE581" i="2"/>
  <c r="AE573" i="2"/>
  <c r="AD590" i="2"/>
  <c r="AD565" i="2"/>
  <c r="AE532" i="2"/>
  <c r="AF532" i="2" s="1"/>
  <c r="AD520" i="2"/>
  <c r="AD553" i="2"/>
  <c r="AF553" i="2" s="1"/>
  <c r="AD541" i="2"/>
  <c r="AD537" i="2"/>
  <c r="AD532" i="2"/>
  <c r="AD620" i="2"/>
  <c r="AF620" i="2" s="1"/>
  <c r="AE548" i="2"/>
  <c r="AD533" i="2"/>
  <c r="AF533" i="2" s="1"/>
  <c r="AE504" i="2"/>
  <c r="AE496" i="2"/>
  <c r="AE625" i="2"/>
  <c r="AD561" i="2"/>
  <c r="AD548" i="2"/>
  <c r="AE579" i="2"/>
  <c r="AE571" i="2"/>
  <c r="AE556" i="2"/>
  <c r="AE551" i="2"/>
  <c r="AD549" i="2"/>
  <c r="AE511" i="2"/>
  <c r="AF511" i="2" s="1"/>
  <c r="AD526" i="2"/>
  <c r="AD479" i="2"/>
  <c r="AF479" i="2" s="1"/>
  <c r="AD556" i="2"/>
  <c r="AD545" i="2"/>
  <c r="AF545" i="2" s="1"/>
  <c r="AE529" i="2"/>
  <c r="AD517" i="2"/>
  <c r="AD511" i="2"/>
  <c r="AD510" i="2"/>
  <c r="AD494" i="2"/>
  <c r="AE540" i="2"/>
  <c r="AE520" i="2"/>
  <c r="AD480" i="2"/>
  <c r="AE461" i="2"/>
  <c r="AE457" i="2"/>
  <c r="AE449" i="2"/>
  <c r="AE526" i="2"/>
  <c r="AE519" i="2"/>
  <c r="AE517" i="2"/>
  <c r="AD482" i="2"/>
  <c r="AE476" i="2"/>
  <c r="AF476" i="2" s="1"/>
  <c r="AE472" i="2"/>
  <c r="AE456" i="2"/>
  <c r="AE432" i="2"/>
  <c r="AE521" i="2"/>
  <c r="AE510" i="2"/>
  <c r="AD476" i="2"/>
  <c r="AD472" i="2"/>
  <c r="AD456" i="2"/>
  <c r="AD440" i="2"/>
  <c r="AD436" i="2"/>
  <c r="AD432" i="2"/>
  <c r="AD496" i="2"/>
  <c r="AD492" i="2"/>
  <c r="AE523" i="2"/>
  <c r="AE502" i="2"/>
  <c r="AE450" i="2"/>
  <c r="AD502" i="2"/>
  <c r="AE480" i="2"/>
  <c r="AF480" i="2" s="1"/>
  <c r="AE479" i="2"/>
  <c r="AD450" i="2"/>
  <c r="AE494" i="2"/>
  <c r="AE437" i="2"/>
  <c r="AD431" i="2"/>
  <c r="AE422" i="2"/>
  <c r="AD461" i="2"/>
  <c r="AD429" i="2"/>
  <c r="AD418" i="2"/>
  <c r="AD414" i="2"/>
  <c r="AF414" i="2" s="1"/>
  <c r="AD406" i="2"/>
  <c r="AD402" i="2"/>
  <c r="AD390" i="2"/>
  <c r="AD386" i="2"/>
  <c r="AD374" i="2"/>
  <c r="AD370" i="2"/>
  <c r="AF370" i="2" s="1"/>
  <c r="AD358" i="2"/>
  <c r="AF358" i="2" s="1"/>
  <c r="AD449" i="2"/>
  <c r="AE417" i="2"/>
  <c r="AE369" i="2"/>
  <c r="AD417" i="2"/>
  <c r="AD457" i="2"/>
  <c r="AF432" i="2"/>
  <c r="AD487" i="2"/>
  <c r="AE482" i="2"/>
  <c r="AD408" i="2"/>
  <c r="AD404" i="2"/>
  <c r="AF404" i="2" s="1"/>
  <c r="AD400" i="2"/>
  <c r="AD396" i="2"/>
  <c r="AD380" i="2"/>
  <c r="AD368" i="2"/>
  <c r="AD364" i="2"/>
  <c r="AD356" i="2"/>
  <c r="AE483" i="2"/>
  <c r="AE431" i="2"/>
  <c r="AE429" i="2"/>
  <c r="AE390" i="2"/>
  <c r="AE374" i="2"/>
  <c r="AD437" i="2"/>
  <c r="AF437" i="2" s="1"/>
  <c r="AE412" i="2"/>
  <c r="AE400" i="2"/>
  <c r="AE386" i="2"/>
  <c r="AE370" i="2"/>
  <c r="AE356" i="2"/>
  <c r="AD349" i="2"/>
  <c r="AD345" i="2"/>
  <c r="AD369" i="2"/>
  <c r="AE280" i="2"/>
  <c r="AE408" i="2"/>
  <c r="AE406" i="2"/>
  <c r="AE384" i="2"/>
  <c r="AE368" i="2"/>
  <c r="AE414" i="2"/>
  <c r="AE380" i="2"/>
  <c r="AE364" i="2"/>
  <c r="AF364" i="2" s="1"/>
  <c r="AD343" i="2"/>
  <c r="AF343" i="2" s="1"/>
  <c r="AD339" i="2"/>
  <c r="AD331" i="2"/>
  <c r="AD327" i="2"/>
  <c r="AD323" i="2"/>
  <c r="AD315" i="2"/>
  <c r="AD311" i="2"/>
  <c r="AF311" i="2" s="1"/>
  <c r="AD307" i="2"/>
  <c r="AD303" i="2"/>
  <c r="AD299" i="2"/>
  <c r="AD295" i="2"/>
  <c r="AD291" i="2"/>
  <c r="AF291" i="2" s="1"/>
  <c r="AD287" i="2"/>
  <c r="AD283" i="2"/>
  <c r="AD279" i="2"/>
  <c r="AF279" i="2" s="1"/>
  <c r="AD422" i="2"/>
  <c r="AE418" i="2"/>
  <c r="AE402" i="2"/>
  <c r="AE323" i="2"/>
  <c r="AE396" i="2"/>
  <c r="AF396" i="2" s="1"/>
  <c r="AD255" i="2"/>
  <c r="AE236" i="2"/>
  <c r="AE212" i="2"/>
  <c r="AE335" i="2"/>
  <c r="AF335" i="2" s="1"/>
  <c r="AE303" i="2"/>
  <c r="AF303" i="2" s="1"/>
  <c r="AE287" i="2"/>
  <c r="AE281" i="2"/>
  <c r="AD240" i="2"/>
  <c r="AE251" i="2"/>
  <c r="AE243" i="2"/>
  <c r="AE235" i="2"/>
  <c r="AE215" i="2"/>
  <c r="AE349" i="2"/>
  <c r="AE343" i="2"/>
  <c r="AE327" i="2"/>
  <c r="AE295" i="2"/>
  <c r="AE283" i="2"/>
  <c r="AF283" i="2" s="1"/>
  <c r="AD250" i="2"/>
  <c r="AD242" i="2"/>
  <c r="AD234" i="2"/>
  <c r="AE345" i="2"/>
  <c r="AE279" i="2"/>
  <c r="AD225" i="2"/>
  <c r="AE200" i="2"/>
  <c r="AE196" i="2"/>
  <c r="AF196" i="2" s="1"/>
  <c r="AE184" i="2"/>
  <c r="AE176" i="2"/>
  <c r="AE307" i="2"/>
  <c r="AE291" i="2"/>
  <c r="AE218" i="2"/>
  <c r="AE211" i="2"/>
  <c r="AD196" i="2"/>
  <c r="AD188" i="2"/>
  <c r="AD184" i="2"/>
  <c r="AD180" i="2"/>
  <c r="AD176" i="2"/>
  <c r="AD164" i="2"/>
  <c r="AD160" i="2"/>
  <c r="AF160" i="2" s="1"/>
  <c r="AF212" i="2"/>
  <c r="AD211" i="2"/>
  <c r="AE183" i="2"/>
  <c r="AF183" i="2" s="1"/>
  <c r="AE175" i="2"/>
  <c r="AE167" i="2"/>
  <c r="AD215" i="2"/>
  <c r="AD212" i="2"/>
  <c r="AD183" i="2"/>
  <c r="AD175" i="2"/>
  <c r="AD167" i="2"/>
  <c r="AD155" i="2"/>
  <c r="AE255" i="2"/>
  <c r="AE331" i="2"/>
  <c r="AF331" i="2" s="1"/>
  <c r="AE315" i="2"/>
  <c r="AF315" i="2" s="1"/>
  <c r="AE299" i="2"/>
  <c r="AF299" i="2" s="1"/>
  <c r="AD251" i="2"/>
  <c r="AD243" i="2"/>
  <c r="AF243" i="2" s="1"/>
  <c r="AD235" i="2"/>
  <c r="AD186" i="2"/>
  <c r="AF186" i="2" s="1"/>
  <c r="AD178" i="2"/>
  <c r="AD166" i="2"/>
  <c r="AD162" i="2"/>
  <c r="AF162" i="2" s="1"/>
  <c r="AD280" i="2"/>
  <c r="AF280" i="2" s="1"/>
  <c r="AE186" i="2"/>
  <c r="AE170" i="2"/>
  <c r="AE162" i="2"/>
  <c r="AE155" i="2"/>
  <c r="AE152" i="2"/>
  <c r="AE144" i="2"/>
  <c r="AE136" i="2"/>
  <c r="AE124" i="2"/>
  <c r="AE120" i="2"/>
  <c r="AE112" i="2"/>
  <c r="AE108" i="2"/>
  <c r="AE104" i="2"/>
  <c r="AE100" i="2"/>
  <c r="AE96" i="2"/>
  <c r="AE88" i="2"/>
  <c r="AE84" i="2"/>
  <c r="AE72" i="2"/>
  <c r="AE68" i="2"/>
  <c r="AE64" i="2"/>
  <c r="AE56" i="2"/>
  <c r="AE52" i="2"/>
  <c r="AE40" i="2"/>
  <c r="AE36" i="2"/>
  <c r="AE32" i="2"/>
  <c r="AE28" i="2"/>
  <c r="AF184" i="2"/>
  <c r="AE164" i="2"/>
  <c r="AE160" i="2"/>
  <c r="AD152" i="2"/>
  <c r="AF152" i="2" s="1"/>
  <c r="AD144" i="2"/>
  <c r="AD140" i="2"/>
  <c r="AD136" i="2"/>
  <c r="AD124" i="2"/>
  <c r="AF124" i="2" s="1"/>
  <c r="AD120" i="2"/>
  <c r="AF120" i="2" s="1"/>
  <c r="AD112" i="2"/>
  <c r="AD108" i="2"/>
  <c r="AD104" i="2"/>
  <c r="AD100" i="2"/>
  <c r="AD96" i="2"/>
  <c r="AD92" i="2"/>
  <c r="AD88" i="2"/>
  <c r="AD80" i="2"/>
  <c r="AD72" i="2"/>
  <c r="AD68" i="2"/>
  <c r="AD64" i="2"/>
  <c r="AD56" i="2"/>
  <c r="AF56" i="2" s="1"/>
  <c r="AD52" i="2"/>
  <c r="AD44" i="2"/>
  <c r="AD40" i="2"/>
  <c r="AF40" i="2" s="1"/>
  <c r="AD36" i="2"/>
  <c r="AD32" i="2"/>
  <c r="AD28" i="2"/>
  <c r="AD20" i="2"/>
  <c r="AF20" i="2" s="1"/>
  <c r="AD16" i="2"/>
  <c r="AF16" i="2" s="1"/>
  <c r="AD12" i="2"/>
  <c r="AF12" i="2" s="1"/>
  <c r="AE250" i="2"/>
  <c r="AE182" i="2"/>
  <c r="AE147" i="2"/>
  <c r="AE127" i="2"/>
  <c r="AE123" i="2"/>
  <c r="AE115" i="2"/>
  <c r="AE107" i="2"/>
  <c r="AE35" i="2"/>
  <c r="AE242" i="2"/>
  <c r="AD147" i="2"/>
  <c r="AD135" i="2"/>
  <c r="AD127" i="2"/>
  <c r="AD123" i="2"/>
  <c r="AD107" i="2"/>
  <c r="AD103" i="2"/>
  <c r="AF103" i="2" s="1"/>
  <c r="AD83" i="2"/>
  <c r="AD35" i="2"/>
  <c r="AF35" i="2" s="1"/>
  <c r="AE234" i="2"/>
  <c r="AD161" i="2"/>
  <c r="AF161" i="2" s="1"/>
  <c r="AD150" i="2"/>
  <c r="AF150" i="2" s="1"/>
  <c r="AD138" i="2"/>
  <c r="AD122" i="2"/>
  <c r="AD118" i="2"/>
  <c r="AF118" i="2" s="1"/>
  <c r="AD110" i="2"/>
  <c r="AF110" i="2" s="1"/>
  <c r="AD58" i="2"/>
  <c r="AD46" i="2"/>
  <c r="AD34" i="2"/>
  <c r="AD26" i="2"/>
  <c r="AF26" i="2" s="1"/>
  <c r="AD22" i="2"/>
  <c r="AF22" i="2" s="1"/>
  <c r="AD14" i="2"/>
  <c r="AF14" i="2" s="1"/>
  <c r="AE105" i="2"/>
  <c r="AE97" i="2"/>
  <c r="AE25" i="2"/>
  <c r="U27" i="2"/>
  <c r="T27" i="2"/>
  <c r="T13" i="2"/>
  <c r="V13" i="2" s="1"/>
  <c r="W13" i="2" s="1"/>
  <c r="AE13" i="2" s="1"/>
  <c r="T21" i="2"/>
  <c r="V21" i="2" s="1"/>
  <c r="W21" i="2" s="1"/>
  <c r="AE21" i="2" s="1"/>
  <c r="U37" i="2"/>
  <c r="T37" i="2"/>
  <c r="V37" i="2" s="1"/>
  <c r="W37" i="2" s="1"/>
  <c r="AE37" i="2" s="1"/>
  <c r="U50" i="2"/>
  <c r="V50" i="2" s="1"/>
  <c r="W50" i="2" s="1"/>
  <c r="AE50" i="2" s="1"/>
  <c r="U63" i="2"/>
  <c r="T63" i="2"/>
  <c r="T87" i="2"/>
  <c r="V87" i="2" s="1"/>
  <c r="W87" i="2" s="1"/>
  <c r="AD87" i="2" s="1"/>
  <c r="U101" i="2"/>
  <c r="T101" i="2"/>
  <c r="V101" i="2" s="1"/>
  <c r="W101" i="2" s="1"/>
  <c r="T119" i="2"/>
  <c r="V119" i="2" s="1"/>
  <c r="W119" i="2" s="1"/>
  <c r="AD119" i="2" s="1"/>
  <c r="T143" i="2"/>
  <c r="V143" i="2" s="1"/>
  <c r="W143" i="2" s="1"/>
  <c r="AD143" i="2" s="1"/>
  <c r="U145" i="2"/>
  <c r="T145" i="2"/>
  <c r="AE150" i="2"/>
  <c r="U159" i="2"/>
  <c r="T159" i="2"/>
  <c r="X168" i="2" a="1"/>
  <c r="X168" i="2" s="1"/>
  <c r="Y168" i="2"/>
  <c r="Z168" i="2" s="1"/>
  <c r="X178" i="2" a="1"/>
  <c r="X178" i="2" s="1"/>
  <c r="T188" i="2"/>
  <c r="V188" i="2" s="1"/>
  <c r="W188" i="2" s="1"/>
  <c r="AE188" i="2" s="1"/>
  <c r="T190" i="2"/>
  <c r="U190" i="2"/>
  <c r="X200" i="2" a="1"/>
  <c r="X200" i="2" s="1"/>
  <c r="Y200" i="2"/>
  <c r="Z200" i="2" s="1"/>
  <c r="V54" i="2"/>
  <c r="W54" i="2" s="1"/>
  <c r="AD54" i="2" s="1"/>
  <c r="U55" i="2"/>
  <c r="T55" i="2"/>
  <c r="V86" i="2"/>
  <c r="W86" i="2" s="1"/>
  <c r="AD86" i="2" s="1"/>
  <c r="X32" i="2" a="1"/>
  <c r="X32" i="2" s="1"/>
  <c r="Y32" i="2"/>
  <c r="Z32" i="2" s="1"/>
  <c r="U51" i="2"/>
  <c r="T51" i="2"/>
  <c r="AD7" i="2"/>
  <c r="T17" i="2"/>
  <c r="V17" i="2" s="1"/>
  <c r="W17" i="2" s="1"/>
  <c r="AD17" i="2" s="1"/>
  <c r="AE22" i="2"/>
  <c r="U31" i="2"/>
  <c r="T31" i="2"/>
  <c r="AE46" i="2"/>
  <c r="U69" i="2"/>
  <c r="T69" i="2"/>
  <c r="U82" i="2"/>
  <c r="AE7" i="2"/>
  <c r="T29" i="2"/>
  <c r="V29" i="2" s="1"/>
  <c r="W29" i="2" s="1"/>
  <c r="AE29" i="2" s="1"/>
  <c r="U30" i="2"/>
  <c r="V30" i="2" s="1"/>
  <c r="W30" i="2" s="1"/>
  <c r="U43" i="2"/>
  <c r="T43" i="2"/>
  <c r="U49" i="2"/>
  <c r="T49" i="2"/>
  <c r="V49" i="2" s="1"/>
  <c r="W49" i="2" s="1"/>
  <c r="AE58" i="2"/>
  <c r="U62" i="2"/>
  <c r="V62" i="2" s="1"/>
  <c r="W62" i="2" s="1"/>
  <c r="V74" i="2"/>
  <c r="W74" i="2" s="1"/>
  <c r="AE74" i="2" s="1"/>
  <c r="U75" i="2"/>
  <c r="T75" i="2"/>
  <c r="U81" i="2"/>
  <c r="T81" i="2"/>
  <c r="U94" i="2"/>
  <c r="V94" i="2" s="1"/>
  <c r="W94" i="2" s="1"/>
  <c r="T99" i="2"/>
  <c r="V99" i="2" s="1"/>
  <c r="W99" i="2" s="1"/>
  <c r="AE99" i="2" s="1"/>
  <c r="V106" i="2"/>
  <c r="W106" i="2" s="1"/>
  <c r="AE106" i="2" s="1"/>
  <c r="U113" i="2"/>
  <c r="T113" i="2"/>
  <c r="AE122" i="2"/>
  <c r="U126" i="2"/>
  <c r="T131" i="2"/>
  <c r="V131" i="2" s="1"/>
  <c r="W131" i="2" s="1"/>
  <c r="U133" i="2"/>
  <c r="T133" i="2"/>
  <c r="AE138" i="2"/>
  <c r="X146" i="2" a="1"/>
  <c r="X146" i="2" s="1"/>
  <c r="V154" i="2"/>
  <c r="W154" i="2" s="1"/>
  <c r="Y175" i="2"/>
  <c r="Z175" i="2" s="1"/>
  <c r="X175" i="2" a="1"/>
  <c r="X175" i="2" s="1"/>
  <c r="AE178" i="2"/>
  <c r="AF178" i="2" s="1"/>
  <c r="Y186" i="2"/>
  <c r="Z186" i="2" s="1"/>
  <c r="X186" i="2" a="1"/>
  <c r="X186" i="2" s="1"/>
  <c r="T194" i="2"/>
  <c r="U194" i="2"/>
  <c r="U209" i="2"/>
  <c r="T209" i="2"/>
  <c r="X212" i="2" a="1"/>
  <c r="X212" i="2" s="1"/>
  <c r="Y212" i="2"/>
  <c r="Z212" i="2" s="1"/>
  <c r="U271" i="2"/>
  <c r="T271" i="2"/>
  <c r="X100" i="2" a="1"/>
  <c r="X100" i="2" s="1"/>
  <c r="Y100" i="2"/>
  <c r="Z100" i="2" s="1"/>
  <c r="U125" i="2"/>
  <c r="T125" i="2"/>
  <c r="V142" i="2"/>
  <c r="W142" i="2" s="1"/>
  <c r="AD142" i="2" s="1"/>
  <c r="X144" i="2" a="1"/>
  <c r="X144" i="2" s="1"/>
  <c r="Y144" i="2"/>
  <c r="Z144" i="2" s="1"/>
  <c r="U153" i="2"/>
  <c r="T153" i="2"/>
  <c r="V158" i="2"/>
  <c r="W158" i="2" s="1"/>
  <c r="AE158" i="2" s="1"/>
  <c r="T172" i="2"/>
  <c r="V172" i="2" s="1"/>
  <c r="W172" i="2" s="1"/>
  <c r="U204" i="2"/>
  <c r="T204" i="2"/>
  <c r="U169" i="2"/>
  <c r="T169" i="2"/>
  <c r="V169" i="2" s="1"/>
  <c r="W169" i="2" s="1"/>
  <c r="AD169" i="2" s="1"/>
  <c r="U185" i="2"/>
  <c r="T185" i="2"/>
  <c r="U237" i="2"/>
  <c r="T237" i="2"/>
  <c r="V248" i="2"/>
  <c r="W248" i="2" s="1"/>
  <c r="U259" i="2"/>
  <c r="T259" i="2"/>
  <c r="Y287" i="2"/>
  <c r="Z287" i="2" s="1"/>
  <c r="X287" i="2" a="1"/>
  <c r="X287" i="2" s="1"/>
  <c r="U165" i="2"/>
  <c r="T165" i="2"/>
  <c r="U189" i="2"/>
  <c r="T189" i="2"/>
  <c r="V202" i="2"/>
  <c r="W202" i="2" s="1"/>
  <c r="U203" i="2"/>
  <c r="T203" i="2"/>
  <c r="V203" i="2" s="1"/>
  <c r="W203" i="2" s="1"/>
  <c r="AE203" i="2" s="1"/>
  <c r="U216" i="2"/>
  <c r="T216" i="2"/>
  <c r="U245" i="2"/>
  <c r="T245" i="2"/>
  <c r="U253" i="2"/>
  <c r="T253" i="2"/>
  <c r="Y280" i="2"/>
  <c r="Z280" i="2" s="1"/>
  <c r="Y303" i="2"/>
  <c r="Z303" i="2" s="1"/>
  <c r="X303" i="2" a="1"/>
  <c r="X303" i="2" s="1"/>
  <c r="U341" i="2"/>
  <c r="T341" i="2"/>
  <c r="X319" i="2" a="1"/>
  <c r="X319" i="2" s="1"/>
  <c r="U208" i="2"/>
  <c r="T208" i="2"/>
  <c r="U219" i="2"/>
  <c r="T219" i="2"/>
  <c r="U233" i="2"/>
  <c r="T233" i="2"/>
  <c r="Y235" i="2"/>
  <c r="Z235" i="2" s="1"/>
  <c r="X235" i="2" a="1"/>
  <c r="X235" i="2" s="1"/>
  <c r="X255" i="2" a="1"/>
  <c r="X255" i="2" s="1"/>
  <c r="Y255" i="2"/>
  <c r="Z255" i="2" s="1"/>
  <c r="Y335" i="2"/>
  <c r="Z335" i="2" s="1"/>
  <c r="X335" i="2" a="1"/>
  <c r="X335" i="2" s="1"/>
  <c r="U177" i="2"/>
  <c r="T177" i="2"/>
  <c r="U193" i="2"/>
  <c r="T193" i="2"/>
  <c r="Y215" i="2"/>
  <c r="Z215" i="2" s="1"/>
  <c r="X224" i="2" a="1"/>
  <c r="X224" i="2" s="1"/>
  <c r="Y224" i="2"/>
  <c r="Z224" i="2" s="1"/>
  <c r="U199" i="2"/>
  <c r="T199" i="2"/>
  <c r="U207" i="2"/>
  <c r="T207" i="2"/>
  <c r="U221" i="2"/>
  <c r="T221" i="2"/>
  <c r="V232" i="2"/>
  <c r="W232" i="2" s="1"/>
  <c r="AD232" i="2" s="1"/>
  <c r="U241" i="2"/>
  <c r="T241" i="2"/>
  <c r="Y243" i="2"/>
  <c r="Z243" i="2" s="1"/>
  <c r="X243" i="2" a="1"/>
  <c r="X243" i="2" s="1"/>
  <c r="U263" i="2"/>
  <c r="T263" i="2"/>
  <c r="Y283" i="2"/>
  <c r="Z283" i="2" s="1"/>
  <c r="X283" i="2" a="1"/>
  <c r="X283" i="2" s="1"/>
  <c r="U290" i="2"/>
  <c r="T290" i="2"/>
  <c r="U181" i="2"/>
  <c r="T181" i="2"/>
  <c r="U198" i="2"/>
  <c r="V198" i="2" s="1"/>
  <c r="W198" i="2" s="1"/>
  <c r="U205" i="2"/>
  <c r="T205" i="2"/>
  <c r="U213" i="2"/>
  <c r="V213" i="2" s="1"/>
  <c r="W213" i="2" s="1"/>
  <c r="AE213" i="2" s="1"/>
  <c r="Y218" i="2"/>
  <c r="Z218" i="2" s="1"/>
  <c r="X218" i="2" a="1"/>
  <c r="X218" i="2" s="1"/>
  <c r="U229" i="2"/>
  <c r="T229" i="2"/>
  <c r="U249" i="2"/>
  <c r="T249" i="2"/>
  <c r="Y251" i="2"/>
  <c r="Z251" i="2" s="1"/>
  <c r="X251" i="2" a="1"/>
  <c r="X251" i="2" s="1"/>
  <c r="U306" i="2"/>
  <c r="T306" i="2"/>
  <c r="U223" i="2"/>
  <c r="T223" i="2"/>
  <c r="U231" i="2"/>
  <c r="T231" i="2"/>
  <c r="U274" i="2"/>
  <c r="T274" i="2"/>
  <c r="U285" i="2"/>
  <c r="T285" i="2"/>
  <c r="U292" i="2"/>
  <c r="T292" i="2"/>
  <c r="Y299" i="2"/>
  <c r="Z299" i="2" s="1"/>
  <c r="X299" i="2" a="1"/>
  <c r="X299" i="2" s="1"/>
  <c r="U301" i="2"/>
  <c r="T301" i="2"/>
  <c r="U308" i="2"/>
  <c r="T308" i="2"/>
  <c r="Y315" i="2"/>
  <c r="Z315" i="2" s="1"/>
  <c r="X315" i="2" a="1"/>
  <c r="X315" i="2" s="1"/>
  <c r="U325" i="2"/>
  <c r="T325" i="2"/>
  <c r="U346" i="2"/>
  <c r="T346" i="2"/>
  <c r="U258" i="2"/>
  <c r="T258" i="2"/>
  <c r="U262" i="2"/>
  <c r="T262" i="2"/>
  <c r="U266" i="2"/>
  <c r="T266" i="2"/>
  <c r="U270" i="2"/>
  <c r="T270" i="2"/>
  <c r="Y279" i="2"/>
  <c r="Z279" i="2" s="1"/>
  <c r="X279" i="2" a="1"/>
  <c r="X279" i="2" s="1"/>
  <c r="U282" i="2"/>
  <c r="T282" i="2"/>
  <c r="U375" i="2"/>
  <c r="T375" i="2"/>
  <c r="U276" i="2"/>
  <c r="T276" i="2"/>
  <c r="Y323" i="2"/>
  <c r="Z323" i="2" s="1"/>
  <c r="X323" i="2" a="1"/>
  <c r="X323" i="2" s="1"/>
  <c r="U351" i="2"/>
  <c r="T351" i="2"/>
  <c r="T210" i="2"/>
  <c r="V210" i="2" s="1"/>
  <c r="W210" i="2" s="1"/>
  <c r="AD210" i="2" s="1"/>
  <c r="U257" i="2"/>
  <c r="T257" i="2"/>
  <c r="U261" i="2"/>
  <c r="T261" i="2"/>
  <c r="U265" i="2"/>
  <c r="T265" i="2"/>
  <c r="U269" i="2"/>
  <c r="T269" i="2"/>
  <c r="U273" i="2"/>
  <c r="T273" i="2"/>
  <c r="U278" i="2"/>
  <c r="T278" i="2"/>
  <c r="U298" i="2"/>
  <c r="T298" i="2"/>
  <c r="U314" i="2"/>
  <c r="T314" i="2"/>
  <c r="T214" i="2"/>
  <c r="V214" i="2" s="1"/>
  <c r="W214" i="2" s="1"/>
  <c r="AE214" i="2" s="1"/>
  <c r="U217" i="2"/>
  <c r="T217" i="2"/>
  <c r="V222" i="2"/>
  <c r="W222" i="2" s="1"/>
  <c r="AD222" i="2" s="1"/>
  <c r="U227" i="2"/>
  <c r="T227" i="2"/>
  <c r="V230" i="2"/>
  <c r="W230" i="2" s="1"/>
  <c r="AE230" i="2" s="1"/>
  <c r="X234" i="2" a="1"/>
  <c r="X234" i="2" s="1"/>
  <c r="V238" i="2"/>
  <c r="W238" i="2" s="1"/>
  <c r="AE238" i="2" s="1"/>
  <c r="X242" i="2" a="1"/>
  <c r="X242" i="2" s="1"/>
  <c r="V246" i="2"/>
  <c r="W246" i="2" s="1"/>
  <c r="AD246" i="2" s="1"/>
  <c r="X250" i="2" a="1"/>
  <c r="X250" i="2" s="1"/>
  <c r="V254" i="2"/>
  <c r="W254" i="2" s="1"/>
  <c r="AE254" i="2" s="1"/>
  <c r="X281" i="2" a="1"/>
  <c r="X281" i="2" s="1"/>
  <c r="U286" i="2"/>
  <c r="T286" i="2"/>
  <c r="V286" i="2" s="1"/>
  <c r="W286" i="2" s="1"/>
  <c r="AE286" i="2" s="1"/>
  <c r="Y291" i="2"/>
  <c r="Z291" i="2" s="1"/>
  <c r="X291" i="2" a="1"/>
  <c r="X291" i="2" s="1"/>
  <c r="U293" i="2"/>
  <c r="T293" i="2"/>
  <c r="Y295" i="2"/>
  <c r="Z295" i="2" s="1"/>
  <c r="X295" i="2" a="1"/>
  <c r="X295" i="2" s="1"/>
  <c r="U300" i="2"/>
  <c r="T300" i="2"/>
  <c r="V300" i="2" s="1"/>
  <c r="W300" i="2" s="1"/>
  <c r="U302" i="2"/>
  <c r="T302" i="2"/>
  <c r="Y307" i="2"/>
  <c r="Z307" i="2" s="1"/>
  <c r="X307" i="2" a="1"/>
  <c r="X307" i="2" s="1"/>
  <c r="U309" i="2"/>
  <c r="T309" i="2"/>
  <c r="Y311" i="2"/>
  <c r="Z311" i="2" s="1"/>
  <c r="X311" i="2" a="1"/>
  <c r="X311" i="2" s="1"/>
  <c r="U316" i="2"/>
  <c r="T316" i="2"/>
  <c r="U318" i="2"/>
  <c r="T318" i="2"/>
  <c r="U334" i="2"/>
  <c r="T334" i="2"/>
  <c r="U340" i="2"/>
  <c r="T340" i="2"/>
  <c r="V340" i="2" s="1"/>
  <c r="W340" i="2" s="1"/>
  <c r="V220" i="2"/>
  <c r="W220" i="2" s="1"/>
  <c r="AD220" i="2" s="1"/>
  <c r="V228" i="2"/>
  <c r="W228" i="2" s="1"/>
  <c r="AE228" i="2" s="1"/>
  <c r="X236" i="2" a="1"/>
  <c r="X236" i="2" s="1"/>
  <c r="Y236" i="2"/>
  <c r="Z236" i="2" s="1"/>
  <c r="V244" i="2"/>
  <c r="W244" i="2" s="1"/>
  <c r="AE244" i="2" s="1"/>
  <c r="V252" i="2"/>
  <c r="W252" i="2" s="1"/>
  <c r="AE252" i="2" s="1"/>
  <c r="U256" i="2"/>
  <c r="T256" i="2"/>
  <c r="V256" i="2" s="1"/>
  <c r="W256" i="2" s="1"/>
  <c r="AD256" i="2" s="1"/>
  <c r="U260" i="2"/>
  <c r="T260" i="2"/>
  <c r="U264" i="2"/>
  <c r="T264" i="2"/>
  <c r="U268" i="2"/>
  <c r="T268" i="2"/>
  <c r="U272" i="2"/>
  <c r="T272" i="2"/>
  <c r="V272" i="2" s="1"/>
  <c r="W272" i="2" s="1"/>
  <c r="U275" i="2"/>
  <c r="T275" i="2"/>
  <c r="U324" i="2"/>
  <c r="T324" i="2"/>
  <c r="U338" i="2"/>
  <c r="T338" i="2"/>
  <c r="Y343" i="2"/>
  <c r="Z343" i="2" s="1"/>
  <c r="X343" i="2" a="1"/>
  <c r="X343" i="2" s="1"/>
  <c r="U379" i="2"/>
  <c r="T379" i="2"/>
  <c r="T239" i="2"/>
  <c r="V239" i="2" s="1"/>
  <c r="W239" i="2" s="1"/>
  <c r="AE239" i="2" s="1"/>
  <c r="T247" i="2"/>
  <c r="V247" i="2" s="1"/>
  <c r="W247" i="2" s="1"/>
  <c r="AE247" i="2" s="1"/>
  <c r="V277" i="2"/>
  <c r="W277" i="2" s="1"/>
  <c r="AE277" i="2" s="1"/>
  <c r="U322" i="2"/>
  <c r="T322" i="2"/>
  <c r="Y327" i="2"/>
  <c r="Z327" i="2" s="1"/>
  <c r="X327" i="2" a="1"/>
  <c r="X327" i="2" s="1"/>
  <c r="Y412" i="2"/>
  <c r="Z412" i="2" s="1"/>
  <c r="T317" i="2"/>
  <c r="V317" i="2" s="1"/>
  <c r="W317" i="2" s="1"/>
  <c r="AD317" i="2" s="1"/>
  <c r="X331" i="2" a="1"/>
  <c r="X331" i="2" s="1"/>
  <c r="T333" i="2"/>
  <c r="V333" i="2" s="1"/>
  <c r="W333" i="2" s="1"/>
  <c r="AD333" i="2" s="1"/>
  <c r="U348" i="2"/>
  <c r="T348" i="2"/>
  <c r="X349" i="2" a="1"/>
  <c r="X349" i="2" s="1"/>
  <c r="Y368" i="2"/>
  <c r="Z368" i="2" s="1"/>
  <c r="U387" i="2"/>
  <c r="T387" i="2"/>
  <c r="U392" i="2"/>
  <c r="T392" i="2"/>
  <c r="U395" i="2"/>
  <c r="T395" i="2"/>
  <c r="X422" i="2" a="1"/>
  <c r="X422" i="2" s="1"/>
  <c r="Y429" i="2"/>
  <c r="Z429" i="2" s="1"/>
  <c r="X429" i="2" a="1"/>
  <c r="X429" i="2" s="1"/>
  <c r="U288" i="2"/>
  <c r="T288" i="2"/>
  <c r="U304" i="2"/>
  <c r="T304" i="2"/>
  <c r="U320" i="2"/>
  <c r="T320" i="2"/>
  <c r="U336" i="2"/>
  <c r="T336" i="2"/>
  <c r="T353" i="2"/>
  <c r="V353" i="2" s="1"/>
  <c r="W353" i="2" s="1"/>
  <c r="AE353" i="2" s="1"/>
  <c r="Y356" i="2"/>
  <c r="Z356" i="2" s="1"/>
  <c r="X356" i="2" a="1"/>
  <c r="X356" i="2" s="1"/>
  <c r="V366" i="2"/>
  <c r="W366" i="2" s="1"/>
  <c r="U397" i="2"/>
  <c r="T397" i="2"/>
  <c r="X400" i="2" a="1"/>
  <c r="X400" i="2" s="1"/>
  <c r="U403" i="2"/>
  <c r="T403" i="2"/>
  <c r="Y416" i="2"/>
  <c r="Z416" i="2" s="1"/>
  <c r="Y472" i="2"/>
  <c r="Z472" i="2" s="1"/>
  <c r="X472" i="2" a="1"/>
  <c r="X472" i="2" s="1"/>
  <c r="V305" i="2"/>
  <c r="W305" i="2" s="1"/>
  <c r="V321" i="2"/>
  <c r="W321" i="2" s="1"/>
  <c r="T347" i="2"/>
  <c r="V347" i="2" s="1"/>
  <c r="W347" i="2" s="1"/>
  <c r="AD347" i="2" s="1"/>
  <c r="U352" i="2"/>
  <c r="T352" i="2"/>
  <c r="U359" i="2"/>
  <c r="T359" i="2"/>
  <c r="U363" i="2"/>
  <c r="T363" i="2"/>
  <c r="V382" i="2"/>
  <c r="W382" i="2" s="1"/>
  <c r="T427" i="2"/>
  <c r="U427" i="2"/>
  <c r="U391" i="2"/>
  <c r="T391" i="2"/>
  <c r="U399" i="2"/>
  <c r="T399" i="2"/>
  <c r="Y404" i="2"/>
  <c r="Z404" i="2" s="1"/>
  <c r="X404" i="2" a="1"/>
  <c r="X404" i="2" s="1"/>
  <c r="U407" i="2"/>
  <c r="T407" i="2"/>
  <c r="X417" i="2" a="1"/>
  <c r="X417" i="2" s="1"/>
  <c r="Y417" i="2"/>
  <c r="Z417" i="2" s="1"/>
  <c r="U294" i="2"/>
  <c r="T294" i="2"/>
  <c r="U296" i="2"/>
  <c r="T296" i="2"/>
  <c r="U310" i="2"/>
  <c r="T310" i="2"/>
  <c r="U312" i="2"/>
  <c r="T312" i="2"/>
  <c r="U326" i="2"/>
  <c r="T326" i="2"/>
  <c r="U328" i="2"/>
  <c r="T328" i="2"/>
  <c r="U342" i="2"/>
  <c r="T342" i="2"/>
  <c r="U344" i="2"/>
  <c r="T344" i="2"/>
  <c r="U350" i="2"/>
  <c r="T350" i="2"/>
  <c r="Y358" i="2"/>
  <c r="Z358" i="2" s="1"/>
  <c r="X358" i="2" a="1"/>
  <c r="X358" i="2" s="1"/>
  <c r="U367" i="2"/>
  <c r="T367" i="2"/>
  <c r="Y396" i="2"/>
  <c r="Z396" i="2" s="1"/>
  <c r="X396" i="2" a="1"/>
  <c r="X396" i="2" s="1"/>
  <c r="T284" i="2"/>
  <c r="V284" i="2" s="1"/>
  <c r="W284" i="2" s="1"/>
  <c r="AE284" i="2" s="1"/>
  <c r="X345" i="2" a="1"/>
  <c r="X345" i="2" s="1"/>
  <c r="T355" i="2"/>
  <c r="V355" i="2" s="1"/>
  <c r="W355" i="2" s="1"/>
  <c r="AE355" i="2" s="1"/>
  <c r="U360" i="2"/>
  <c r="T360" i="2"/>
  <c r="Y369" i="2"/>
  <c r="Z369" i="2" s="1"/>
  <c r="Y374" i="2"/>
  <c r="Z374" i="2" s="1"/>
  <c r="X374" i="2" a="1"/>
  <c r="X374" i="2" s="1"/>
  <c r="U383" i="2"/>
  <c r="T383" i="2"/>
  <c r="U413" i="2"/>
  <c r="T413" i="2"/>
  <c r="U330" i="2"/>
  <c r="T330" i="2"/>
  <c r="U332" i="2"/>
  <c r="T332" i="2"/>
  <c r="U354" i="2"/>
  <c r="T354" i="2"/>
  <c r="U371" i="2"/>
  <c r="T371" i="2"/>
  <c r="U376" i="2"/>
  <c r="T376" i="2"/>
  <c r="Y390" i="2"/>
  <c r="Z390" i="2" s="1"/>
  <c r="X390" i="2" a="1"/>
  <c r="X390" i="2" s="1"/>
  <c r="Y408" i="2"/>
  <c r="Z408" i="2" s="1"/>
  <c r="X408" i="2" a="1"/>
  <c r="X408" i="2" s="1"/>
  <c r="U411" i="2"/>
  <c r="T411" i="2"/>
  <c r="U415" i="2"/>
  <c r="T415" i="2"/>
  <c r="X406" i="2" a="1"/>
  <c r="X406" i="2" s="1"/>
  <c r="V420" i="2"/>
  <c r="W420" i="2" s="1"/>
  <c r="AD420" i="2" s="1"/>
  <c r="V424" i="2"/>
  <c r="W424" i="2" s="1"/>
  <c r="Y431" i="2"/>
  <c r="Z431" i="2" s="1"/>
  <c r="X431" i="2" a="1"/>
  <c r="X431" i="2" s="1"/>
  <c r="Y441" i="2"/>
  <c r="Z441" i="2" s="1"/>
  <c r="X482" i="2" a="1"/>
  <c r="X482" i="2" s="1"/>
  <c r="Y482" i="2"/>
  <c r="Z482" i="2" s="1"/>
  <c r="Y483" i="2"/>
  <c r="Z483" i="2" s="1"/>
  <c r="X483" i="2" a="1"/>
  <c r="X483" i="2" s="1"/>
  <c r="U357" i="2"/>
  <c r="T357" i="2"/>
  <c r="T372" i="2"/>
  <c r="V372" i="2" s="1"/>
  <c r="W372" i="2" s="1"/>
  <c r="U373" i="2"/>
  <c r="T373" i="2"/>
  <c r="T388" i="2"/>
  <c r="V388" i="2" s="1"/>
  <c r="W388" i="2" s="1"/>
  <c r="AD388" i="2" s="1"/>
  <c r="U389" i="2"/>
  <c r="T389" i="2"/>
  <c r="U401" i="2"/>
  <c r="T401" i="2"/>
  <c r="V410" i="2"/>
  <c r="W410" i="2" s="1"/>
  <c r="U433" i="2"/>
  <c r="T433" i="2"/>
  <c r="X440" i="2" a="1"/>
  <c r="X440" i="2" s="1"/>
  <c r="X450" i="2" a="1"/>
  <c r="X450" i="2" s="1"/>
  <c r="Y450" i="2"/>
  <c r="Z450" i="2" s="1"/>
  <c r="U361" i="2"/>
  <c r="T361" i="2"/>
  <c r="U377" i="2"/>
  <c r="T377" i="2"/>
  <c r="U393" i="2"/>
  <c r="T393" i="2"/>
  <c r="U419" i="2"/>
  <c r="T419" i="2"/>
  <c r="X432" i="2" a="1"/>
  <c r="X432" i="2" s="1"/>
  <c r="Y432" i="2"/>
  <c r="Z432" i="2" s="1"/>
  <c r="T362" i="2"/>
  <c r="V362" i="2" s="1"/>
  <c r="W362" i="2" s="1"/>
  <c r="AE362" i="2" s="1"/>
  <c r="T378" i="2"/>
  <c r="V378" i="2" s="1"/>
  <c r="W378" i="2" s="1"/>
  <c r="AD378" i="2" s="1"/>
  <c r="U405" i="2"/>
  <c r="T405" i="2"/>
  <c r="U423" i="2"/>
  <c r="Y456" i="2"/>
  <c r="Z456" i="2" s="1"/>
  <c r="X456" i="2" a="1"/>
  <c r="X456" i="2" s="1"/>
  <c r="X457" i="2" a="1"/>
  <c r="X457" i="2" s="1"/>
  <c r="Y457" i="2"/>
  <c r="Z457" i="2" s="1"/>
  <c r="T459" i="2"/>
  <c r="U459" i="2"/>
  <c r="Y492" i="2"/>
  <c r="Z492" i="2" s="1"/>
  <c r="Y494" i="2"/>
  <c r="Z494" i="2" s="1"/>
  <c r="X494" i="2" a="1"/>
  <c r="X494" i="2" s="1"/>
  <c r="U365" i="2"/>
  <c r="T365" i="2"/>
  <c r="U381" i="2"/>
  <c r="T381" i="2"/>
  <c r="V394" i="2"/>
  <c r="W394" i="2" s="1"/>
  <c r="AD394" i="2" s="1"/>
  <c r="X402" i="2" a="1"/>
  <c r="X402" i="2" s="1"/>
  <c r="X436" i="2" a="1"/>
  <c r="X436" i="2" s="1"/>
  <c r="X414" i="2" a="1"/>
  <c r="X414" i="2" s="1"/>
  <c r="X418" i="2" a="1"/>
  <c r="X418" i="2" s="1"/>
  <c r="T421" i="2"/>
  <c r="V421" i="2" s="1"/>
  <c r="W421" i="2" s="1"/>
  <c r="AE421" i="2" s="1"/>
  <c r="T425" i="2"/>
  <c r="V425" i="2" s="1"/>
  <c r="W425" i="2" s="1"/>
  <c r="AD425" i="2" s="1"/>
  <c r="T428" i="2"/>
  <c r="V428" i="2" s="1"/>
  <c r="W428" i="2" s="1"/>
  <c r="AE428" i="2" s="1"/>
  <c r="U385" i="2"/>
  <c r="T385" i="2"/>
  <c r="U409" i="2"/>
  <c r="T409" i="2"/>
  <c r="Y439" i="2"/>
  <c r="Z439" i="2" s="1"/>
  <c r="X439" i="2" a="1"/>
  <c r="X439" i="2" s="1"/>
  <c r="V448" i="2"/>
  <c r="W448" i="2" s="1"/>
  <c r="AE448" i="2" s="1"/>
  <c r="Y464" i="2"/>
  <c r="Z464" i="2" s="1"/>
  <c r="X464" i="2" a="1"/>
  <c r="X464" i="2" s="1"/>
  <c r="Y487" i="2"/>
  <c r="Z487" i="2" s="1"/>
  <c r="T442" i="2"/>
  <c r="V442" i="2" s="1"/>
  <c r="W442" i="2" s="1"/>
  <c r="T451" i="2"/>
  <c r="V451" i="2" s="1"/>
  <c r="W451" i="2" s="1"/>
  <c r="AE451" i="2" s="1"/>
  <c r="U451" i="2"/>
  <c r="T470" i="2"/>
  <c r="V470" i="2" s="1"/>
  <c r="W470" i="2" s="1"/>
  <c r="AE470" i="2" s="1"/>
  <c r="T478" i="2"/>
  <c r="V478" i="2" s="1"/>
  <c r="W478" i="2" s="1"/>
  <c r="Y517" i="2"/>
  <c r="Z517" i="2" s="1"/>
  <c r="X517" i="2" a="1"/>
  <c r="X517" i="2" s="1"/>
  <c r="T438" i="2"/>
  <c r="V438" i="2" s="1"/>
  <c r="W438" i="2" s="1"/>
  <c r="AD438" i="2" s="1"/>
  <c r="T444" i="2"/>
  <c r="V444" i="2" s="1"/>
  <c r="W444" i="2" s="1"/>
  <c r="X449" i="2" a="1"/>
  <c r="X449" i="2" s="1"/>
  <c r="Y449" i="2"/>
  <c r="Z449" i="2" s="1"/>
  <c r="T454" i="2"/>
  <c r="V454" i="2" s="1"/>
  <c r="W454" i="2" s="1"/>
  <c r="AD454" i="2" s="1"/>
  <c r="T463" i="2"/>
  <c r="U463" i="2"/>
  <c r="T471" i="2"/>
  <c r="U471" i="2"/>
  <c r="Y479" i="2"/>
  <c r="Z479" i="2" s="1"/>
  <c r="X479" i="2" a="1"/>
  <c r="X479" i="2" s="1"/>
  <c r="Y480" i="2"/>
  <c r="Z480" i="2" s="1"/>
  <c r="X480" i="2" a="1"/>
  <c r="X480" i="2" s="1"/>
  <c r="X496" i="2" a="1"/>
  <c r="X496" i="2" s="1"/>
  <c r="Y496" i="2"/>
  <c r="Z496" i="2" s="1"/>
  <c r="T443" i="2"/>
  <c r="U443" i="2"/>
  <c r="X461" i="2" a="1"/>
  <c r="X461" i="2" s="1"/>
  <c r="Y461" i="2"/>
  <c r="Z461" i="2" s="1"/>
  <c r="Y468" i="2"/>
  <c r="Z468" i="2" s="1"/>
  <c r="Y476" i="2"/>
  <c r="Z476" i="2" s="1"/>
  <c r="X476" i="2" a="1"/>
  <c r="X476" i="2" s="1"/>
  <c r="U485" i="2"/>
  <c r="T485" i="2"/>
  <c r="X514" i="2" a="1"/>
  <c r="X514" i="2" s="1"/>
  <c r="Y519" i="2"/>
  <c r="Z519" i="2" s="1"/>
  <c r="X519" i="2" a="1"/>
  <c r="X519" i="2" s="1"/>
  <c r="T430" i="2"/>
  <c r="V430" i="2" s="1"/>
  <c r="W430" i="2" s="1"/>
  <c r="AE430" i="2" s="1"/>
  <c r="X437" i="2" a="1"/>
  <c r="X437" i="2" s="1"/>
  <c r="V446" i="2"/>
  <c r="W446" i="2" s="1"/>
  <c r="T453" i="2"/>
  <c r="V453" i="2" s="1"/>
  <c r="W453" i="2" s="1"/>
  <c r="AD453" i="2" s="1"/>
  <c r="T455" i="2"/>
  <c r="U455" i="2"/>
  <c r="U469" i="2"/>
  <c r="T469" i="2"/>
  <c r="U477" i="2"/>
  <c r="T477" i="2"/>
  <c r="U484" i="2"/>
  <c r="T484" i="2"/>
  <c r="T488" i="2"/>
  <c r="V488" i="2" s="1"/>
  <c r="W488" i="2" s="1"/>
  <c r="Y511" i="2"/>
  <c r="Z511" i="2" s="1"/>
  <c r="X511" i="2" a="1"/>
  <c r="X511" i="2" s="1"/>
  <c r="T435" i="2"/>
  <c r="V435" i="2" s="1"/>
  <c r="W435" i="2" s="1"/>
  <c r="AD435" i="2" s="1"/>
  <c r="V458" i="2"/>
  <c r="W458" i="2" s="1"/>
  <c r="AD458" i="2" s="1"/>
  <c r="V466" i="2"/>
  <c r="W466" i="2" s="1"/>
  <c r="AE466" i="2" s="1"/>
  <c r="V474" i="2"/>
  <c r="W474" i="2" s="1"/>
  <c r="AE474" i="2" s="1"/>
  <c r="T507" i="2"/>
  <c r="U507" i="2"/>
  <c r="T445" i="2"/>
  <c r="V445" i="2" s="1"/>
  <c r="W445" i="2" s="1"/>
  <c r="AE445" i="2" s="1"/>
  <c r="T447" i="2"/>
  <c r="U447" i="2"/>
  <c r="T460" i="2"/>
  <c r="V460" i="2" s="1"/>
  <c r="W460" i="2" s="1"/>
  <c r="T467" i="2"/>
  <c r="U467" i="2"/>
  <c r="T475" i="2"/>
  <c r="U475" i="2"/>
  <c r="X481" i="2" a="1"/>
  <c r="X481" i="2" s="1"/>
  <c r="Y502" i="2"/>
  <c r="Z502" i="2" s="1"/>
  <c r="X502" i="2" a="1"/>
  <c r="X502" i="2" s="1"/>
  <c r="Y518" i="2"/>
  <c r="Z518" i="2" s="1"/>
  <c r="X518" i="2" a="1"/>
  <c r="X518" i="2" s="1"/>
  <c r="U515" i="2"/>
  <c r="T515" i="2"/>
  <c r="T434" i="2"/>
  <c r="V434" i="2" s="1"/>
  <c r="W434" i="2" s="1"/>
  <c r="AE434" i="2" s="1"/>
  <c r="T452" i="2"/>
  <c r="V452" i="2" s="1"/>
  <c r="W452" i="2" s="1"/>
  <c r="T462" i="2"/>
  <c r="V462" i="2" s="1"/>
  <c r="W462" i="2" s="1"/>
  <c r="U465" i="2"/>
  <c r="T465" i="2"/>
  <c r="U473" i="2"/>
  <c r="T473" i="2"/>
  <c r="V508" i="2"/>
  <c r="W508" i="2" s="1"/>
  <c r="AE508" i="2" s="1"/>
  <c r="U512" i="2"/>
  <c r="T512" i="2"/>
  <c r="Y520" i="2"/>
  <c r="Z520" i="2" s="1"/>
  <c r="X520" i="2" a="1"/>
  <c r="X520" i="2" s="1"/>
  <c r="U524" i="2"/>
  <c r="T524" i="2"/>
  <c r="T490" i="2"/>
  <c r="V490" i="2" s="1"/>
  <c r="W490" i="2" s="1"/>
  <c r="AE490" i="2" s="1"/>
  <c r="T516" i="2"/>
  <c r="V516" i="2" s="1"/>
  <c r="W516" i="2" s="1"/>
  <c r="AE516" i="2" s="1"/>
  <c r="Y523" i="2"/>
  <c r="Z523" i="2" s="1"/>
  <c r="X523" i="2" a="1"/>
  <c r="X523" i="2" s="1"/>
  <c r="U531" i="2"/>
  <c r="T531" i="2"/>
  <c r="U534" i="2"/>
  <c r="T534" i="2"/>
  <c r="U550" i="2"/>
  <c r="T550" i="2"/>
  <c r="T495" i="2"/>
  <c r="V495" i="2" s="1"/>
  <c r="W495" i="2" s="1"/>
  <c r="T505" i="2"/>
  <c r="V505" i="2" s="1"/>
  <c r="W505" i="2" s="1"/>
  <c r="T522" i="2"/>
  <c r="V522" i="2" s="1"/>
  <c r="W522" i="2" s="1"/>
  <c r="Y541" i="2"/>
  <c r="Z541" i="2" s="1"/>
  <c r="X541" i="2" a="1"/>
  <c r="X541" i="2" s="1"/>
  <c r="U570" i="2"/>
  <c r="T570" i="2"/>
  <c r="X579" i="2" a="1"/>
  <c r="X579" i="2" s="1"/>
  <c r="Y579" i="2"/>
  <c r="Z579" i="2" s="1"/>
  <c r="X533" i="2" a="1"/>
  <c r="X533" i="2" s="1"/>
  <c r="Y533" i="2"/>
  <c r="Z533" i="2" s="1"/>
  <c r="X537" i="2" a="1"/>
  <c r="X537" i="2" s="1"/>
  <c r="Y537" i="2"/>
  <c r="Z537" i="2" s="1"/>
  <c r="Y540" i="2"/>
  <c r="Z540" i="2" s="1"/>
  <c r="X540" i="2" a="1"/>
  <c r="X540" i="2" s="1"/>
  <c r="U562" i="2"/>
  <c r="T562" i="2"/>
  <c r="Y565" i="2"/>
  <c r="Z565" i="2" s="1"/>
  <c r="X565" i="2" a="1"/>
  <c r="X565" i="2" s="1"/>
  <c r="X521" i="2" a="1"/>
  <c r="X521" i="2" s="1"/>
  <c r="U530" i="2"/>
  <c r="T530" i="2"/>
  <c r="V530" i="2" s="1"/>
  <c r="W530" i="2" s="1"/>
  <c r="AE530" i="2" s="1"/>
  <c r="T503" i="2"/>
  <c r="V503" i="2" s="1"/>
  <c r="W503" i="2" s="1"/>
  <c r="AE503" i="2" s="1"/>
  <c r="X526" i="2" a="1"/>
  <c r="X526" i="2" s="1"/>
  <c r="T491" i="2"/>
  <c r="V491" i="2" s="1"/>
  <c r="W491" i="2" s="1"/>
  <c r="AD491" i="2" s="1"/>
  <c r="T493" i="2"/>
  <c r="V493" i="2" s="1"/>
  <c r="W493" i="2" s="1"/>
  <c r="AD493" i="2" s="1"/>
  <c r="T497" i="2"/>
  <c r="V497" i="2" s="1"/>
  <c r="W497" i="2" s="1"/>
  <c r="T500" i="2"/>
  <c r="V500" i="2" s="1"/>
  <c r="W500" i="2" s="1"/>
  <c r="AE500" i="2" s="1"/>
  <c r="U528" i="2"/>
  <c r="T528" i="2"/>
  <c r="Y532" i="2"/>
  <c r="Z532" i="2" s="1"/>
  <c r="X532" i="2" a="1"/>
  <c r="X532" i="2" s="1"/>
  <c r="T498" i="2"/>
  <c r="V498" i="2" s="1"/>
  <c r="W498" i="2" s="1"/>
  <c r="T509" i="2"/>
  <c r="V509" i="2" s="1"/>
  <c r="W509" i="2" s="1"/>
  <c r="AE509" i="2" s="1"/>
  <c r="T513" i="2"/>
  <c r="V513" i="2" s="1"/>
  <c r="W513" i="2" s="1"/>
  <c r="AE513" i="2" s="1"/>
  <c r="V558" i="2"/>
  <c r="W558" i="2" s="1"/>
  <c r="AD558" i="2" s="1"/>
  <c r="U568" i="2"/>
  <c r="T568" i="2"/>
  <c r="U584" i="2"/>
  <c r="T584" i="2"/>
  <c r="X633" i="2" a="1"/>
  <c r="X633" i="2" s="1"/>
  <c r="Y633" i="2"/>
  <c r="Z633" i="2" s="1"/>
  <c r="Y589" i="2"/>
  <c r="Z589" i="2" s="1"/>
  <c r="X589" i="2" a="1"/>
  <c r="X589" i="2" s="1"/>
  <c r="Y545" i="2"/>
  <c r="Z545" i="2" s="1"/>
  <c r="X545" i="2" a="1"/>
  <c r="X545" i="2" s="1"/>
  <c r="X571" i="2" a="1"/>
  <c r="X571" i="2" s="1"/>
  <c r="Y571" i="2"/>
  <c r="Z571" i="2" s="1"/>
  <c r="T572" i="2"/>
  <c r="V572" i="2" s="1"/>
  <c r="W572" i="2" s="1"/>
  <c r="AE572" i="2" s="1"/>
  <c r="T578" i="2"/>
  <c r="V578" i="2" s="1"/>
  <c r="W578" i="2" s="1"/>
  <c r="V525" i="2"/>
  <c r="W525" i="2" s="1"/>
  <c r="AD525" i="2" s="1"/>
  <c r="Y549" i="2"/>
  <c r="Z549" i="2" s="1"/>
  <c r="X549" i="2" a="1"/>
  <c r="X549" i="2" s="1"/>
  <c r="U554" i="2"/>
  <c r="T554" i="2"/>
  <c r="Y561" i="2"/>
  <c r="Z561" i="2" s="1"/>
  <c r="X561" i="2" a="1"/>
  <c r="X561" i="2" s="1"/>
  <c r="T486" i="2"/>
  <c r="V486" i="2" s="1"/>
  <c r="W486" i="2" s="1"/>
  <c r="AE486" i="2" s="1"/>
  <c r="T501" i="2"/>
  <c r="V501" i="2" s="1"/>
  <c r="W501" i="2" s="1"/>
  <c r="AE501" i="2" s="1"/>
  <c r="T506" i="2"/>
  <c r="V506" i="2" s="1"/>
  <c r="W506" i="2" s="1"/>
  <c r="AE506" i="2" s="1"/>
  <c r="U538" i="2"/>
  <c r="T538" i="2"/>
  <c r="U542" i="2"/>
  <c r="T542" i="2"/>
  <c r="U574" i="2"/>
  <c r="T574" i="2"/>
  <c r="T580" i="2"/>
  <c r="V580" i="2" s="1"/>
  <c r="W580" i="2" s="1"/>
  <c r="AD580" i="2" s="1"/>
  <c r="Y632" i="2"/>
  <c r="Z632" i="2" s="1"/>
  <c r="U582" i="2"/>
  <c r="T582" i="2"/>
  <c r="V582" i="2" s="1"/>
  <c r="W582" i="2" s="1"/>
  <c r="AE582" i="2" s="1"/>
  <c r="X573" i="2" a="1"/>
  <c r="X573" i="2" s="1"/>
  <c r="Y573" i="2"/>
  <c r="Z573" i="2" s="1"/>
  <c r="U576" i="2"/>
  <c r="T576" i="2"/>
  <c r="U586" i="2"/>
  <c r="T586" i="2"/>
  <c r="U594" i="2"/>
  <c r="T594" i="2"/>
  <c r="Y598" i="2"/>
  <c r="Z598" i="2" s="1"/>
  <c r="X598" i="2" a="1"/>
  <c r="X598" i="2" s="1"/>
  <c r="X544" i="2" a="1"/>
  <c r="X544" i="2" s="1"/>
  <c r="U546" i="2"/>
  <c r="T546" i="2"/>
  <c r="V546" i="2" s="1"/>
  <c r="W546" i="2" s="1"/>
  <c r="Y553" i="2"/>
  <c r="Z553" i="2" s="1"/>
  <c r="X553" i="2" a="1"/>
  <c r="X553" i="2" s="1"/>
  <c r="X581" i="2" a="1"/>
  <c r="X581" i="2" s="1"/>
  <c r="Y581" i="2"/>
  <c r="Z581" i="2" s="1"/>
  <c r="U592" i="2"/>
  <c r="T592" i="2"/>
  <c r="V592" i="2" s="1"/>
  <c r="W592" i="2" s="1"/>
  <c r="AE592" i="2" s="1"/>
  <c r="Y600" i="2"/>
  <c r="Z600" i="2" s="1"/>
  <c r="X600" i="2" a="1"/>
  <c r="X600" i="2" s="1"/>
  <c r="U613" i="2"/>
  <c r="T613" i="2"/>
  <c r="U628" i="2"/>
  <c r="T628" i="2"/>
  <c r="V628" i="2" s="1"/>
  <c r="W628" i="2" s="1"/>
  <c r="AE628" i="2" s="1"/>
  <c r="T563" i="2"/>
  <c r="V563" i="2" s="1"/>
  <c r="W563" i="2" s="1"/>
  <c r="AE563" i="2" s="1"/>
  <c r="Y597" i="2"/>
  <c r="Z597" i="2" s="1"/>
  <c r="U602" i="2"/>
  <c r="T602" i="2"/>
  <c r="X605" i="2" a="1"/>
  <c r="X605" i="2" s="1"/>
  <c r="Y605" i="2"/>
  <c r="Z605" i="2" s="1"/>
  <c r="U610" i="2"/>
  <c r="T610" i="2"/>
  <c r="V610" i="2" s="1"/>
  <c r="W610" i="2" s="1"/>
  <c r="AD610" i="2" s="1"/>
  <c r="Y625" i="2"/>
  <c r="Z625" i="2" s="1"/>
  <c r="X625" i="2" a="1"/>
  <c r="X625" i="2" s="1"/>
  <c r="X638" i="2" a="1"/>
  <c r="X638" i="2" s="1"/>
  <c r="Y638" i="2"/>
  <c r="Z638" i="2" s="1"/>
  <c r="X661" i="2" a="1"/>
  <c r="X661" i="2" s="1"/>
  <c r="Y661" i="2"/>
  <c r="Z661" i="2" s="1"/>
  <c r="T560" i="2"/>
  <c r="V560" i="2" s="1"/>
  <c r="W560" i="2" s="1"/>
  <c r="AD560" i="2" s="1"/>
  <c r="Y620" i="2"/>
  <c r="Z620" i="2" s="1"/>
  <c r="X620" i="2" a="1"/>
  <c r="X620" i="2" s="1"/>
  <c r="U622" i="2"/>
  <c r="T622" i="2"/>
  <c r="T543" i="2"/>
  <c r="V543" i="2" s="1"/>
  <c r="W543" i="2" s="1"/>
  <c r="AD543" i="2" s="1"/>
  <c r="T555" i="2"/>
  <c r="V555" i="2" s="1"/>
  <c r="W555" i="2" s="1"/>
  <c r="AD555" i="2" s="1"/>
  <c r="U593" i="2"/>
  <c r="T593" i="2"/>
  <c r="U612" i="2"/>
  <c r="T612" i="2"/>
  <c r="Y615" i="2"/>
  <c r="Z615" i="2" s="1"/>
  <c r="X615" i="2" a="1"/>
  <c r="X615" i="2" s="1"/>
  <c r="T535" i="2"/>
  <c r="V535" i="2" s="1"/>
  <c r="W535" i="2" s="1"/>
  <c r="AE535" i="2" s="1"/>
  <c r="T552" i="2"/>
  <c r="V552" i="2" s="1"/>
  <c r="W552" i="2" s="1"/>
  <c r="AD552" i="2" s="1"/>
  <c r="T595" i="2"/>
  <c r="V595" i="2" s="1"/>
  <c r="W595" i="2" s="1"/>
  <c r="AE595" i="2" s="1"/>
  <c r="U601" i="2"/>
  <c r="T601" i="2"/>
  <c r="V601" i="2" s="1"/>
  <c r="W601" i="2" s="1"/>
  <c r="AE601" i="2" s="1"/>
  <c r="X609" i="2" a="1"/>
  <c r="X609" i="2" s="1"/>
  <c r="Y609" i="2"/>
  <c r="Z609" i="2" s="1"/>
  <c r="U629" i="2"/>
  <c r="T629" i="2"/>
  <c r="X648" i="2" a="1"/>
  <c r="X648" i="2" s="1"/>
  <c r="Y648" i="2"/>
  <c r="Z648" i="2" s="1"/>
  <c r="Y652" i="2"/>
  <c r="Z652" i="2" s="1"/>
  <c r="X652" i="2" a="1"/>
  <c r="X652" i="2" s="1"/>
  <c r="T536" i="2"/>
  <c r="V536" i="2" s="1"/>
  <c r="W536" i="2" s="1"/>
  <c r="AD536" i="2" s="1"/>
  <c r="T539" i="2"/>
  <c r="V539" i="2" s="1"/>
  <c r="W539" i="2" s="1"/>
  <c r="T547" i="2"/>
  <c r="V547" i="2" s="1"/>
  <c r="W547" i="2" s="1"/>
  <c r="T564" i="2"/>
  <c r="V564" i="2" s="1"/>
  <c r="W564" i="2" s="1"/>
  <c r="AE564" i="2" s="1"/>
  <c r="T569" i="2"/>
  <c r="V569" i="2" s="1"/>
  <c r="W569" i="2" s="1"/>
  <c r="AE569" i="2" s="1"/>
  <c r="T577" i="2"/>
  <c r="V577" i="2" s="1"/>
  <c r="W577" i="2" s="1"/>
  <c r="U606" i="2"/>
  <c r="T606" i="2"/>
  <c r="V606" i="2" s="1"/>
  <c r="W606" i="2" s="1"/>
  <c r="AE606" i="2" s="1"/>
  <c r="Y662" i="2"/>
  <c r="Z662" i="2" s="1"/>
  <c r="X662" i="2" a="1"/>
  <c r="X662" i="2" s="1"/>
  <c r="U621" i="2"/>
  <c r="T621" i="2"/>
  <c r="T585" i="2"/>
  <c r="V585" i="2" s="1"/>
  <c r="W585" i="2" s="1"/>
  <c r="AD585" i="2" s="1"/>
  <c r="T587" i="2"/>
  <c r="V587" i="2" s="1"/>
  <c r="W587" i="2" s="1"/>
  <c r="AD587" i="2" s="1"/>
  <c r="T591" i="2"/>
  <c r="V591" i="2" s="1"/>
  <c r="W591" i="2" s="1"/>
  <c r="U616" i="2"/>
  <c r="T616" i="2"/>
  <c r="Y668" i="2"/>
  <c r="Z668" i="2" s="1"/>
  <c r="Y637" i="2"/>
  <c r="Z637" i="2" s="1"/>
  <c r="X637" i="2" a="1"/>
  <c r="X637" i="2" s="1"/>
  <c r="X651" i="2" a="1"/>
  <c r="X651" i="2" s="1"/>
  <c r="Y651" i="2"/>
  <c r="Z651" i="2" s="1"/>
  <c r="Y664" i="2"/>
  <c r="Z664" i="2" s="1"/>
  <c r="X664" i="2" a="1"/>
  <c r="X664" i="2" s="1"/>
  <c r="T596" i="2"/>
  <c r="V596" i="2" s="1"/>
  <c r="W596" i="2" s="1"/>
  <c r="AD596" i="2" s="1"/>
  <c r="T611" i="2"/>
  <c r="V611" i="2" s="1"/>
  <c r="W611" i="2" s="1"/>
  <c r="AE611" i="2" s="1"/>
  <c r="T624" i="2"/>
  <c r="V624" i="2" s="1"/>
  <c r="W624" i="2" s="1"/>
  <c r="AD624" i="2" s="1"/>
  <c r="Y635" i="2"/>
  <c r="Z635" i="2" s="1"/>
  <c r="X635" i="2" a="1"/>
  <c r="X635" i="2" s="1"/>
  <c r="T647" i="2"/>
  <c r="V647" i="2" s="1"/>
  <c r="W647" i="2" s="1"/>
  <c r="AE647" i="2" s="1"/>
  <c r="U657" i="2"/>
  <c r="T657" i="2"/>
  <c r="Y678" i="2"/>
  <c r="Z678" i="2" s="1"/>
  <c r="X678" i="2" a="1"/>
  <c r="X678" i="2" s="1"/>
  <c r="T627" i="2"/>
  <c r="V627" i="2" s="1"/>
  <c r="W627" i="2" s="1"/>
  <c r="AE627" i="2" s="1"/>
  <c r="V653" i="2"/>
  <c r="W653" i="2" s="1"/>
  <c r="AD653" i="2" s="1"/>
  <c r="X654" i="2" a="1"/>
  <c r="X654" i="2" s="1"/>
  <c r="X660" i="2" a="1"/>
  <c r="X660" i="2" s="1"/>
  <c r="T604" i="2"/>
  <c r="V604" i="2" s="1"/>
  <c r="W604" i="2" s="1"/>
  <c r="T614" i="2"/>
  <c r="V614" i="2" s="1"/>
  <c r="W614" i="2" s="1"/>
  <c r="T639" i="2"/>
  <c r="V639" i="2" s="1"/>
  <c r="W639" i="2" s="1"/>
  <c r="AD639" i="2" s="1"/>
  <c r="X650" i="2" a="1"/>
  <c r="X650" i="2" s="1"/>
  <c r="Y650" i="2"/>
  <c r="Z650" i="2" s="1"/>
  <c r="X665" i="2" a="1"/>
  <c r="X665" i="2" s="1"/>
  <c r="Y665" i="2"/>
  <c r="Z665" i="2" s="1"/>
  <c r="U642" i="2"/>
  <c r="T642" i="2"/>
  <c r="V642" i="2" s="1"/>
  <c r="W642" i="2" s="1"/>
  <c r="AD642" i="2" s="1"/>
  <c r="T649" i="2"/>
  <c r="V649" i="2" s="1"/>
  <c r="W649" i="2" s="1"/>
  <c r="AE649" i="2" s="1"/>
  <c r="Y681" i="2"/>
  <c r="Z681" i="2" s="1"/>
  <c r="X681" i="2" a="1"/>
  <c r="X681" i="2" s="1"/>
  <c r="T599" i="2"/>
  <c r="V599" i="2" s="1"/>
  <c r="W599" i="2" s="1"/>
  <c r="AD599" i="2" s="1"/>
  <c r="V617" i="2"/>
  <c r="W617" i="2" s="1"/>
  <c r="AD617" i="2" s="1"/>
  <c r="U618" i="2"/>
  <c r="T618" i="2"/>
  <c r="V618" i="2" s="1"/>
  <c r="W618" i="2" s="1"/>
  <c r="T623" i="2"/>
  <c r="V623" i="2" s="1"/>
  <c r="W623" i="2" s="1"/>
  <c r="AD623" i="2" s="1"/>
  <c r="V631" i="2"/>
  <c r="W631" i="2" s="1"/>
  <c r="AD631" i="2" s="1"/>
  <c r="Y641" i="2"/>
  <c r="Z641" i="2" s="1"/>
  <c r="X641" i="2" a="1"/>
  <c r="X641" i="2" s="1"/>
  <c r="Y646" i="2"/>
  <c r="Z646" i="2" s="1"/>
  <c r="U670" i="2"/>
  <c r="T670" i="2"/>
  <c r="V670" i="2" s="1"/>
  <c r="W670" i="2" s="1"/>
  <c r="T644" i="2"/>
  <c r="V644" i="2" s="1"/>
  <c r="W644" i="2" s="1"/>
  <c r="Y672" i="2"/>
  <c r="Z672" i="2" s="1"/>
  <c r="X672" i="2" a="1"/>
  <c r="X672" i="2" s="1"/>
  <c r="U692" i="2"/>
  <c r="T692" i="2"/>
  <c r="U708" i="2"/>
  <c r="T708" i="2"/>
  <c r="U674" i="2"/>
  <c r="T674" i="2"/>
  <c r="V674" i="2" s="1"/>
  <c r="W674" i="2" s="1"/>
  <c r="AE674" i="2" s="1"/>
  <c r="Y682" i="2"/>
  <c r="Z682" i="2" s="1"/>
  <c r="U669" i="2"/>
  <c r="T669" i="2"/>
  <c r="V669" i="2" s="1"/>
  <c r="W669" i="2" s="1"/>
  <c r="AE669" i="2" s="1"/>
  <c r="U689" i="2"/>
  <c r="T689" i="2"/>
  <c r="U659" i="2"/>
  <c r="V659" i="2" s="1"/>
  <c r="W659" i="2" s="1"/>
  <c r="V666" i="2"/>
  <c r="W666" i="2" s="1"/>
  <c r="AE666" i="2" s="1"/>
  <c r="X673" i="2" a="1"/>
  <c r="X673" i="2" s="1"/>
  <c r="T626" i="2"/>
  <c r="V626" i="2" s="1"/>
  <c r="W626" i="2" s="1"/>
  <c r="Y667" i="2"/>
  <c r="Z667" i="2" s="1"/>
  <c r="X667" i="2" a="1"/>
  <c r="X667" i="2" s="1"/>
  <c r="Y709" i="2"/>
  <c r="Z709" i="2" s="1"/>
  <c r="X709" i="2" a="1"/>
  <c r="X709" i="2" s="1"/>
  <c r="T630" i="2"/>
  <c r="V630" i="2" s="1"/>
  <c r="W630" i="2" s="1"/>
  <c r="AE630" i="2" s="1"/>
  <c r="T640" i="2"/>
  <c r="V640" i="2" s="1"/>
  <c r="W640" i="2" s="1"/>
  <c r="AD640" i="2" s="1"/>
  <c r="U655" i="2"/>
  <c r="T655" i="2"/>
  <c r="T656" i="2"/>
  <c r="V656" i="2" s="1"/>
  <c r="W656" i="2" s="1"/>
  <c r="AE656" i="2" s="1"/>
  <c r="T679" i="2"/>
  <c r="V679" i="2" s="1"/>
  <c r="W679" i="2" s="1"/>
  <c r="T683" i="2"/>
  <c r="V683" i="2" s="1"/>
  <c r="W683" i="2" s="1"/>
  <c r="Y701" i="2"/>
  <c r="Z701" i="2" s="1"/>
  <c r="X701" i="2" a="1"/>
  <c r="X701" i="2" s="1"/>
  <c r="U714" i="2"/>
  <c r="T714" i="2"/>
  <c r="Y688" i="2"/>
  <c r="Z688" i="2" s="1"/>
  <c r="X688" i="2" a="1"/>
  <c r="X688" i="2" s="1"/>
  <c r="V658" i="2"/>
  <c r="W658" i="2" s="1"/>
  <c r="T663" i="2"/>
  <c r="U663" i="2"/>
  <c r="U687" i="2"/>
  <c r="T687" i="2"/>
  <c r="X691" i="2" a="1"/>
  <c r="X691" i="2" s="1"/>
  <c r="Y703" i="2"/>
  <c r="Z703" i="2" s="1"/>
  <c r="X703" i="2" a="1"/>
  <c r="X703" i="2" s="1"/>
  <c r="X707" i="2" a="1"/>
  <c r="X707" i="2" s="1"/>
  <c r="Y707" i="2"/>
  <c r="Z707" i="2" s="1"/>
  <c r="T636" i="2"/>
  <c r="V636" i="2" s="1"/>
  <c r="W636" i="2" s="1"/>
  <c r="AD636" i="2" s="1"/>
  <c r="T675" i="2"/>
  <c r="V675" i="2" s="1"/>
  <c r="W675" i="2" s="1"/>
  <c r="AE675" i="2" s="1"/>
  <c r="T690" i="2"/>
  <c r="V690" i="2" s="1"/>
  <c r="W690" i="2" s="1"/>
  <c r="AE690" i="2" s="1"/>
  <c r="Y698" i="2"/>
  <c r="Z698" i="2" s="1"/>
  <c r="X698" i="2" a="1"/>
  <c r="X698" i="2" s="1"/>
  <c r="T685" i="2"/>
  <c r="U685" i="2"/>
  <c r="U699" i="2"/>
  <c r="T699" i="2"/>
  <c r="V680" i="2"/>
  <c r="W680" i="2" s="1"/>
  <c r="AE680" i="2" s="1"/>
  <c r="Y705" i="2"/>
  <c r="Z705" i="2" s="1"/>
  <c r="X705" i="2" a="1"/>
  <c r="X705" i="2" s="1"/>
  <c r="U710" i="2"/>
  <c r="T710" i="2"/>
  <c r="T671" i="2"/>
  <c r="V671" i="2" s="1"/>
  <c r="W671" i="2" s="1"/>
  <c r="AD671" i="2" s="1"/>
  <c r="U697" i="2"/>
  <c r="T697" i="2"/>
  <c r="U704" i="2"/>
  <c r="T704" i="2"/>
  <c r="V704" i="2" s="1"/>
  <c r="W704" i="2" s="1"/>
  <c r="X693" i="2" a="1"/>
  <c r="X693" i="2" s="1"/>
  <c r="V695" i="2"/>
  <c r="W695" i="2" s="1"/>
  <c r="AD695" i="2" s="1"/>
  <c r="V696" i="2"/>
  <c r="W696" i="2" s="1"/>
  <c r="AE696" i="2" s="1"/>
  <c r="Y719" i="2"/>
  <c r="Z719" i="2" s="1"/>
  <c r="X719" i="2" a="1"/>
  <c r="X719" i="2" s="1"/>
  <c r="V684" i="2"/>
  <c r="W684" i="2" s="1"/>
  <c r="Y694" i="2"/>
  <c r="Z694" i="2" s="1"/>
  <c r="U712" i="2"/>
  <c r="T712" i="2"/>
  <c r="Y717" i="2"/>
  <c r="Z717" i="2" s="1"/>
  <c r="X717" i="2" a="1"/>
  <c r="X717" i="2" s="1"/>
  <c r="U734" i="2"/>
  <c r="T734" i="2"/>
  <c r="V734" i="2" s="1"/>
  <c r="W734" i="2" s="1"/>
  <c r="Y711" i="2"/>
  <c r="Z711" i="2" s="1"/>
  <c r="Y723" i="2"/>
  <c r="Z723" i="2" s="1"/>
  <c r="X723" i="2" a="1"/>
  <c r="X723" i="2" s="1"/>
  <c r="U730" i="2"/>
  <c r="T730" i="2"/>
  <c r="X715" i="2" a="1"/>
  <c r="X715" i="2" s="1"/>
  <c r="V700" i="2"/>
  <c r="W700" i="2" s="1"/>
  <c r="AD700" i="2" s="1"/>
  <c r="X718" i="2" a="1"/>
  <c r="X718" i="2" s="1"/>
  <c r="Y718" i="2"/>
  <c r="Z718" i="2" s="1"/>
  <c r="Y725" i="2"/>
  <c r="Z725" i="2" s="1"/>
  <c r="X725" i="2" a="1"/>
  <c r="X725" i="2" s="1"/>
  <c r="Y731" i="2"/>
  <c r="Z731" i="2" s="1"/>
  <c r="X731" i="2" a="1"/>
  <c r="X731" i="2" s="1"/>
  <c r="U738" i="2"/>
  <c r="T738" i="2"/>
  <c r="Y748" i="2"/>
  <c r="Z748" i="2" s="1"/>
  <c r="X748" i="2" a="1"/>
  <c r="X748" i="2" s="1"/>
  <c r="Y739" i="2"/>
  <c r="Z739" i="2" s="1"/>
  <c r="T722" i="2"/>
  <c r="V722" i="2" s="1"/>
  <c r="W722" i="2" s="1"/>
  <c r="AE722" i="2" s="1"/>
  <c r="V729" i="2"/>
  <c r="W729" i="2" s="1"/>
  <c r="AE729" i="2" s="1"/>
  <c r="T733" i="2"/>
  <c r="V733" i="2" s="1"/>
  <c r="W733" i="2" s="1"/>
  <c r="AE733" i="2" s="1"/>
  <c r="X735" i="2" a="1"/>
  <c r="X735" i="2" s="1"/>
  <c r="Y735" i="2"/>
  <c r="Z735" i="2" s="1"/>
  <c r="Y744" i="2"/>
  <c r="Z744" i="2" s="1"/>
  <c r="X744" i="2" a="1"/>
  <c r="X744" i="2" s="1"/>
  <c r="U753" i="2"/>
  <c r="T753" i="2"/>
  <c r="T726" i="2"/>
  <c r="V726" i="2" s="1"/>
  <c r="W726" i="2" s="1"/>
  <c r="Y727" i="2"/>
  <c r="Z727" i="2" s="1"/>
  <c r="X727" i="2" a="1"/>
  <c r="X727" i="2" s="1"/>
  <c r="Y764" i="2"/>
  <c r="Z764" i="2" s="1"/>
  <c r="X764" i="2" a="1"/>
  <c r="X764" i="2" s="1"/>
  <c r="V742" i="2"/>
  <c r="W742" i="2" s="1"/>
  <c r="AE742" i="2" s="1"/>
  <c r="U761" i="2"/>
  <c r="T761" i="2"/>
  <c r="V761" i="2" s="1"/>
  <c r="W761" i="2" s="1"/>
  <c r="AE761" i="2" s="1"/>
  <c r="X745" i="2" a="1"/>
  <c r="X745" i="2" s="1"/>
  <c r="Y745" i="2"/>
  <c r="Z745" i="2" s="1"/>
  <c r="Y752" i="2"/>
  <c r="Z752" i="2" s="1"/>
  <c r="X752" i="2" a="1"/>
  <c r="X752" i="2" s="1"/>
  <c r="Y756" i="2"/>
  <c r="Z756" i="2" s="1"/>
  <c r="X756" i="2" a="1"/>
  <c r="X756" i="2" s="1"/>
  <c r="Y740" i="2"/>
  <c r="Z740" i="2" s="1"/>
  <c r="X740" i="2" a="1"/>
  <c r="X740" i="2" s="1"/>
  <c r="T728" i="2"/>
  <c r="V728" i="2" s="1"/>
  <c r="W728" i="2" s="1"/>
  <c r="X741" i="2" a="1"/>
  <c r="X741" i="2" s="1"/>
  <c r="T746" i="2"/>
  <c r="U746" i="2"/>
  <c r="T716" i="2"/>
  <c r="V716" i="2" s="1"/>
  <c r="W716" i="2" s="1"/>
  <c r="AE716" i="2" s="1"/>
  <c r="T720" i="2"/>
  <c r="V720" i="2" s="1"/>
  <c r="W720" i="2" s="1"/>
  <c r="AE720" i="2" s="1"/>
  <c r="T724" i="2"/>
  <c r="V724" i="2" s="1"/>
  <c r="W724" i="2" s="1"/>
  <c r="AD724" i="2" s="1"/>
  <c r="T732" i="2"/>
  <c r="V732" i="2" s="1"/>
  <c r="W732" i="2" s="1"/>
  <c r="Y751" i="2"/>
  <c r="Z751" i="2" s="1"/>
  <c r="X751" i="2" a="1"/>
  <c r="X751" i="2" s="1"/>
  <c r="Y760" i="2"/>
  <c r="Z760" i="2" s="1"/>
  <c r="X760" i="2" a="1"/>
  <c r="X760" i="2" s="1"/>
  <c r="U755" i="2"/>
  <c r="T755" i="2"/>
  <c r="X757" i="2" a="1"/>
  <c r="X757" i="2" s="1"/>
  <c r="Y757" i="2"/>
  <c r="Z757" i="2" s="1"/>
  <c r="V754" i="2"/>
  <c r="W754" i="2" s="1"/>
  <c r="U765" i="2"/>
  <c r="T765" i="2"/>
  <c r="U771" i="2"/>
  <c r="T771" i="2"/>
  <c r="V770" i="2"/>
  <c r="W770" i="2" s="1"/>
  <c r="AE770" i="2" s="1"/>
  <c r="X747" i="2" a="1"/>
  <c r="X747" i="2" s="1"/>
  <c r="U759" i="2"/>
  <c r="T759" i="2"/>
  <c r="U767" i="2"/>
  <c r="T767" i="2"/>
  <c r="Y772" i="2"/>
  <c r="Z772" i="2" s="1"/>
  <c r="X772" i="2" a="1"/>
  <c r="X772" i="2" s="1"/>
  <c r="V749" i="2"/>
  <c r="W749" i="2" s="1"/>
  <c r="AD749" i="2" s="1"/>
  <c r="T743" i="2"/>
  <c r="V743" i="2" s="1"/>
  <c r="W743" i="2" s="1"/>
  <c r="U750" i="2"/>
  <c r="V750" i="2" s="1"/>
  <c r="W750" i="2" s="1"/>
  <c r="U758" i="2"/>
  <c r="V766" i="2"/>
  <c r="W766" i="2" s="1"/>
  <c r="U769" i="2"/>
  <c r="T769" i="2"/>
  <c r="U763" i="2"/>
  <c r="T763" i="2"/>
  <c r="V763" i="2" s="1"/>
  <c r="W763" i="2" s="1"/>
  <c r="AD763" i="2" s="1"/>
  <c r="Y768" i="2"/>
  <c r="Z768" i="2" s="1"/>
  <c r="X768" i="2" a="1"/>
  <c r="X768" i="2" s="1"/>
  <c r="L52" i="1" l="1"/>
  <c r="M52" i="1" s="1"/>
  <c r="D72" i="1"/>
  <c r="E72" i="1" s="1"/>
  <c r="F72" i="1" s="1"/>
  <c r="P65" i="1"/>
  <c r="P88" i="1"/>
  <c r="P86" i="1"/>
  <c r="L67" i="1"/>
  <c r="M67" i="1" s="1"/>
  <c r="P66" i="1"/>
  <c r="P59" i="1"/>
  <c r="P52" i="1"/>
  <c r="R5" i="1"/>
  <c r="S5" i="1" s="1"/>
  <c r="T5" i="1" s="1"/>
  <c r="U5" i="1" s="1"/>
  <c r="R11" i="1"/>
  <c r="S11" i="1" s="1"/>
  <c r="T11" i="1" s="1"/>
  <c r="U11" i="1" s="1"/>
  <c r="O58" i="1" s="1"/>
  <c r="P58" i="1" s="1"/>
  <c r="R37" i="1"/>
  <c r="S37" i="1" s="1"/>
  <c r="T37" i="1" s="1"/>
  <c r="U37" i="1" s="1"/>
  <c r="R27" i="1"/>
  <c r="S27" i="1" s="1"/>
  <c r="T27" i="1" s="1"/>
  <c r="U27" i="1" s="1"/>
  <c r="O60" i="1" s="1"/>
  <c r="P60" i="1" s="1"/>
  <c r="V385" i="2"/>
  <c r="W385" i="2" s="1"/>
  <c r="AD353" i="2"/>
  <c r="AF573" i="2"/>
  <c r="V423" i="2"/>
  <c r="W423" i="2" s="1"/>
  <c r="AE682" i="2"/>
  <c r="AD682" i="2"/>
  <c r="X682" i="2" a="1"/>
  <c r="X682" i="2" s="1"/>
  <c r="AF737" i="2"/>
  <c r="AE607" i="2"/>
  <c r="AD607" i="2"/>
  <c r="Y607" i="2"/>
  <c r="Z607" i="2" s="1"/>
  <c r="X607" i="2" a="1"/>
  <c r="X607" i="2" s="1"/>
  <c r="X416" i="2" a="1"/>
  <c r="X416" i="2" s="1"/>
  <c r="AE416" i="2"/>
  <c r="AD416" i="2"/>
  <c r="X632" i="2" a="1"/>
  <c r="X632" i="2" s="1"/>
  <c r="AE632" i="2"/>
  <c r="AD632" i="2"/>
  <c r="AF551" i="2"/>
  <c r="AE481" i="2"/>
  <c r="Y481" i="2"/>
  <c r="Z481" i="2" s="1"/>
  <c r="AD481" i="2"/>
  <c r="AE135" i="2"/>
  <c r="X135" i="2" a="1"/>
  <c r="X135" i="2" s="1"/>
  <c r="AE339" i="2"/>
  <c r="Y339" i="2"/>
  <c r="Z339" i="2" s="1"/>
  <c r="X339" i="2" a="1"/>
  <c r="X339" i="2" s="1"/>
  <c r="AD224" i="2"/>
  <c r="AE224" i="2"/>
  <c r="Y281" i="2"/>
  <c r="Z281" i="2" s="1"/>
  <c r="AD281" i="2"/>
  <c r="AF281" i="2" s="1"/>
  <c r="AE48" i="2"/>
  <c r="AD48" i="2"/>
  <c r="V475" i="2"/>
  <c r="W475" i="2" s="1"/>
  <c r="AD475" i="2" s="1"/>
  <c r="V507" i="2"/>
  <c r="W507" i="2" s="1"/>
  <c r="AE507" i="2" s="1"/>
  <c r="V273" i="2"/>
  <c r="W273" i="2" s="1"/>
  <c r="AD273" i="2" s="1"/>
  <c r="V257" i="2"/>
  <c r="W257" i="2" s="1"/>
  <c r="AD257" i="2" s="1"/>
  <c r="AF104" i="2"/>
  <c r="AF225" i="2"/>
  <c r="AF556" i="2"/>
  <c r="AE15" i="2"/>
  <c r="AD15" i="2"/>
  <c r="AF464" i="2"/>
  <c r="AE598" i="2"/>
  <c r="AF598" i="2" s="1"/>
  <c r="AD598" i="2"/>
  <c r="Y8" i="2"/>
  <c r="Z8" i="2" s="1"/>
  <c r="AD8" i="2"/>
  <c r="AF8" i="2" s="1"/>
  <c r="AE8" i="2"/>
  <c r="X116" i="2" a="1"/>
  <c r="X116" i="2" s="1"/>
  <c r="Y116" i="2"/>
  <c r="Z116" i="2" s="1"/>
  <c r="AE116" i="2"/>
  <c r="AD116" i="2"/>
  <c r="X504" i="2" a="1"/>
  <c r="X504" i="2" s="1"/>
  <c r="AD504" i="2"/>
  <c r="AF504" i="2" s="1"/>
  <c r="Y504" i="2"/>
  <c r="Z504" i="2" s="1"/>
  <c r="AF200" i="2"/>
  <c r="X44" i="2" a="1"/>
  <c r="X44" i="2" s="1"/>
  <c r="Y44" i="2"/>
  <c r="Z44" i="2" s="1"/>
  <c r="AE44" i="2"/>
  <c r="AD305" i="2"/>
  <c r="AE305" i="2"/>
  <c r="AF339" i="2"/>
  <c r="AF449" i="2"/>
  <c r="Y182" i="2"/>
  <c r="Z182" i="2" s="1"/>
  <c r="AD182" i="2"/>
  <c r="AF182" i="2" s="1"/>
  <c r="AE132" i="2"/>
  <c r="AF132" i="2" s="1"/>
  <c r="AD132" i="2"/>
  <c r="AD468" i="2"/>
  <c r="AF468" i="2" s="1"/>
  <c r="X468" i="2" a="1"/>
  <c r="X468" i="2" s="1"/>
  <c r="AE468" i="2"/>
  <c r="AF135" i="2"/>
  <c r="AF72" i="2"/>
  <c r="AF418" i="2"/>
  <c r="X151" i="2" a="1"/>
  <c r="X151" i="2" s="1"/>
  <c r="AF236" i="2"/>
  <c r="V586" i="2"/>
  <c r="W586" i="2" s="1"/>
  <c r="V141" i="2"/>
  <c r="W141" i="2" s="1"/>
  <c r="Y559" i="2"/>
  <c r="Z559" i="2" s="1"/>
  <c r="AE559" i="2"/>
  <c r="X559" i="2" a="1"/>
  <c r="X559" i="2" s="1"/>
  <c r="AD559" i="2"/>
  <c r="AD151" i="2"/>
  <c r="AE151" i="2"/>
  <c r="AE694" i="2"/>
  <c r="AF694" i="2" s="1"/>
  <c r="X694" i="2" a="1"/>
  <c r="X694" i="2" s="1"/>
  <c r="AD694" i="2"/>
  <c r="AE114" i="2"/>
  <c r="AD114" i="2"/>
  <c r="X24" i="2" a="1"/>
  <c r="X24" i="2" s="1"/>
  <c r="Y24" i="2"/>
  <c r="Z24" i="2" s="1"/>
  <c r="AE24" i="2"/>
  <c r="AD24" i="2"/>
  <c r="V685" i="2"/>
  <c r="W685" i="2" s="1"/>
  <c r="V308" i="2"/>
  <c r="W308" i="2" s="1"/>
  <c r="AD308" i="2" s="1"/>
  <c r="V285" i="2"/>
  <c r="W285" i="2" s="1"/>
  <c r="Y285" i="2" s="1"/>
  <c r="Z285" i="2" s="1"/>
  <c r="V306" i="2"/>
  <c r="W306" i="2" s="1"/>
  <c r="AD306" i="2" s="1"/>
  <c r="V290" i="2"/>
  <c r="W290" i="2" s="1"/>
  <c r="AD290" i="2" s="1"/>
  <c r="V241" i="2"/>
  <c r="W241" i="2" s="1"/>
  <c r="AF250" i="2"/>
  <c r="AD95" i="2"/>
  <c r="AF95" i="2" s="1"/>
  <c r="AE95" i="2"/>
  <c r="AF97" i="2"/>
  <c r="AE440" i="2"/>
  <c r="AF440" i="2" s="1"/>
  <c r="Y440" i="2"/>
  <c r="Z440" i="2" s="1"/>
  <c r="Y686" i="2"/>
  <c r="Z686" i="2" s="1"/>
  <c r="X686" i="2" a="1"/>
  <c r="X686" i="2" s="1"/>
  <c r="AD739" i="2"/>
  <c r="AF739" i="2" s="1"/>
  <c r="X739" i="2" a="1"/>
  <c r="X739" i="2" s="1"/>
  <c r="AE436" i="2"/>
  <c r="Y436" i="2"/>
  <c r="Z436" i="2" s="1"/>
  <c r="X634" i="2" a="1"/>
  <c r="X634" i="2" s="1"/>
  <c r="Y634" i="2"/>
  <c r="Z634" i="2" s="1"/>
  <c r="AD634" i="2"/>
  <c r="Y556" i="2"/>
  <c r="Z556" i="2" s="1"/>
  <c r="X556" i="2" a="1"/>
  <c r="X556" i="2" s="1"/>
  <c r="AF483" i="2"/>
  <c r="AE139" i="2"/>
  <c r="AD139" i="2"/>
  <c r="AF139" i="2" s="1"/>
  <c r="Y139" i="2"/>
  <c r="Z139" i="2" s="1"/>
  <c r="X139" i="2" a="1"/>
  <c r="X139" i="2" s="1"/>
  <c r="Y384" i="2"/>
  <c r="Z384" i="2" s="1"/>
  <c r="X384" i="2" a="1"/>
  <c r="X384" i="2" s="1"/>
  <c r="AD384" i="2"/>
  <c r="Y226" i="2"/>
  <c r="Z226" i="2" s="1"/>
  <c r="AD226" i="2"/>
  <c r="AE226" i="2"/>
  <c r="AF226" i="2" s="1"/>
  <c r="X226" i="2" a="1"/>
  <c r="X226" i="2" s="1"/>
  <c r="AE91" i="2"/>
  <c r="Y91" i="2"/>
  <c r="Z91" i="2" s="1"/>
  <c r="AD91" i="2"/>
  <c r="X91" i="2" a="1"/>
  <c r="X91" i="2" s="1"/>
  <c r="AD544" i="2"/>
  <c r="Y544" i="2"/>
  <c r="Z544" i="2" s="1"/>
  <c r="AE544" i="2"/>
  <c r="AF544" i="2" s="1"/>
  <c r="AE90" i="2"/>
  <c r="AD90" i="2"/>
  <c r="AF368" i="2"/>
  <c r="AF727" i="2"/>
  <c r="Y5" i="2"/>
  <c r="Z5" i="2" s="1"/>
  <c r="V758" i="2"/>
  <c r="W758" i="2" s="1"/>
  <c r="V759" i="2"/>
  <c r="W759" i="2" s="1"/>
  <c r="AE759" i="2" s="1"/>
  <c r="V528" i="2"/>
  <c r="W528" i="2" s="1"/>
  <c r="V562" i="2"/>
  <c r="W562" i="2" s="1"/>
  <c r="X527" i="2" a="1"/>
  <c r="X527" i="2" s="1"/>
  <c r="X510" i="2" a="1"/>
  <c r="X510" i="2" s="1"/>
  <c r="V409" i="2"/>
  <c r="W409" i="2" s="1"/>
  <c r="X441" i="2" a="1"/>
  <c r="X441" i="2" s="1"/>
  <c r="X426" i="2" a="1"/>
  <c r="X426" i="2" s="1"/>
  <c r="V403" i="2"/>
  <c r="W403" i="2" s="1"/>
  <c r="AD403" i="2" s="1"/>
  <c r="V348" i="2"/>
  <c r="W348" i="2" s="1"/>
  <c r="Y319" i="2"/>
  <c r="Z319" i="2" s="1"/>
  <c r="V125" i="2"/>
  <c r="W125" i="2" s="1"/>
  <c r="AD125" i="2" s="1"/>
  <c r="V209" i="2"/>
  <c r="W209" i="2" s="1"/>
  <c r="AD4" i="2"/>
  <c r="AF234" i="2"/>
  <c r="AD156" i="2"/>
  <c r="AF156" i="2" s="1"/>
  <c r="AF28" i="2"/>
  <c r="AD60" i="2"/>
  <c r="AF60" i="2" s="1"/>
  <c r="AF96" i="2"/>
  <c r="AF167" i="2"/>
  <c r="AE180" i="2"/>
  <c r="AF180" i="2" s="1"/>
  <c r="AF402" i="2"/>
  <c r="AF295" i="2"/>
  <c r="AF327" i="2"/>
  <c r="AE388" i="2"/>
  <c r="AF388" i="2" s="1"/>
  <c r="AD398" i="2"/>
  <c r="AE426" i="2"/>
  <c r="AF426" i="2" s="1"/>
  <c r="AF496" i="2"/>
  <c r="AE464" i="2"/>
  <c r="AF635" i="2"/>
  <c r="AF645" i="2"/>
  <c r="AE664" i="2"/>
  <c r="AF701" i="2"/>
  <c r="AF719" i="2"/>
  <c r="V109" i="2"/>
  <c r="W109" i="2" s="1"/>
  <c r="V61" i="2"/>
  <c r="W61" i="2" s="1"/>
  <c r="AE61" i="2" s="1"/>
  <c r="V191" i="2"/>
  <c r="W191" i="2" s="1"/>
  <c r="AE191" i="2" s="1"/>
  <c r="V66" i="2"/>
  <c r="W66" i="2" s="1"/>
  <c r="Y111" i="2"/>
  <c r="Z111" i="2" s="1"/>
  <c r="V23" i="2"/>
  <c r="W23" i="2" s="1"/>
  <c r="V148" i="2"/>
  <c r="W148" i="2" s="1"/>
  <c r="AD148" i="2" s="1"/>
  <c r="V567" i="2"/>
  <c r="W567" i="2" s="1"/>
  <c r="AF450" i="2"/>
  <c r="AF519" i="2"/>
  <c r="AF660" i="2"/>
  <c r="X668" i="2" a="1"/>
  <c r="X668" i="2" s="1"/>
  <c r="V622" i="2"/>
  <c r="W622" i="2" s="1"/>
  <c r="AE622" i="2" s="1"/>
  <c r="Y527" i="2"/>
  <c r="Z527" i="2" s="1"/>
  <c r="X487" i="2" a="1"/>
  <c r="X487" i="2" s="1"/>
  <c r="V401" i="2"/>
  <c r="W401" i="2" s="1"/>
  <c r="AE401" i="2" s="1"/>
  <c r="V357" i="2"/>
  <c r="W357" i="2" s="1"/>
  <c r="AD357" i="2" s="1"/>
  <c r="Y426" i="2"/>
  <c r="Z426" i="2" s="1"/>
  <c r="V360" i="2"/>
  <c r="W360" i="2" s="1"/>
  <c r="AE360" i="2" s="1"/>
  <c r="V217" i="2"/>
  <c r="W217" i="2" s="1"/>
  <c r="V276" i="2"/>
  <c r="W276" i="2" s="1"/>
  <c r="V258" i="2"/>
  <c r="W258" i="2" s="1"/>
  <c r="AD258" i="2" s="1"/>
  <c r="V199" i="2"/>
  <c r="W199" i="2" s="1"/>
  <c r="AD199" i="2" s="1"/>
  <c r="V165" i="2"/>
  <c r="W165" i="2" s="1"/>
  <c r="V43" i="2"/>
  <c r="W43" i="2" s="1"/>
  <c r="AD43" i="2" s="1"/>
  <c r="AD111" i="2"/>
  <c r="AF111" i="2" s="1"/>
  <c r="AE166" i="2"/>
  <c r="AF166" i="2" s="1"/>
  <c r="AF64" i="2"/>
  <c r="AE60" i="2"/>
  <c r="AD168" i="2"/>
  <c r="AF168" i="2" s="1"/>
  <c r="AD441" i="2"/>
  <c r="AF441" i="2" s="1"/>
  <c r="AE439" i="2"/>
  <c r="AF520" i="2"/>
  <c r="AD668" i="2"/>
  <c r="AF668" i="2" s="1"/>
  <c r="AD725" i="2"/>
  <c r="AF725" i="2" s="1"/>
  <c r="V197" i="2"/>
  <c r="W197" i="2" s="1"/>
  <c r="V313" i="2"/>
  <c r="W313" i="2" s="1"/>
  <c r="Y313" i="2" s="1"/>
  <c r="Z313" i="2" s="1"/>
  <c r="AE711" i="2"/>
  <c r="AF745" i="2"/>
  <c r="Y84" i="2"/>
  <c r="Z84" i="2" s="1"/>
  <c r="Y180" i="2"/>
  <c r="Z180" i="2" s="1"/>
  <c r="V329" i="2"/>
  <c r="W329" i="2" s="1"/>
  <c r="V769" i="2"/>
  <c r="W769" i="2" s="1"/>
  <c r="AD769" i="2" s="1"/>
  <c r="V689" i="2"/>
  <c r="W689" i="2" s="1"/>
  <c r="V320" i="2"/>
  <c r="W320" i="2" s="1"/>
  <c r="AE320" i="2" s="1"/>
  <c r="X412" i="2" a="1"/>
  <c r="X412" i="2" s="1"/>
  <c r="V324" i="2"/>
  <c r="W324" i="2" s="1"/>
  <c r="Y324" i="2" s="1"/>
  <c r="Z324" i="2" s="1"/>
  <c r="V208" i="2"/>
  <c r="W208" i="2" s="1"/>
  <c r="AE17" i="2"/>
  <c r="Y192" i="2"/>
  <c r="Z192" i="2" s="1"/>
  <c r="X166" i="2" a="1"/>
  <c r="X166" i="2" s="1"/>
  <c r="Y108" i="2"/>
  <c r="Z108" i="2" s="1"/>
  <c r="AF46" i="2"/>
  <c r="AD84" i="2"/>
  <c r="AF84" i="2" s="1"/>
  <c r="AF211" i="2"/>
  <c r="AE319" i="2"/>
  <c r="AE378" i="2"/>
  <c r="AF356" i="2"/>
  <c r="AF417" i="2"/>
  <c r="AF494" i="2"/>
  <c r="AF456" i="2"/>
  <c r="AD521" i="2"/>
  <c r="AF521" i="2" s="1"/>
  <c r="AD527" i="2"/>
  <c r="AF527" i="2" s="1"/>
  <c r="AF615" i="2"/>
  <c r="AF709" i="2"/>
  <c r="AD711" i="2"/>
  <c r="AD748" i="2"/>
  <c r="AF751" i="2"/>
  <c r="V677" i="2"/>
  <c r="W677" i="2" s="1"/>
  <c r="V179" i="2"/>
  <c r="W179" i="2" s="1"/>
  <c r="V82" i="2"/>
  <c r="W82" i="2" s="1"/>
  <c r="X82" i="2" s="1" a="1"/>
  <c r="X82" i="2" s="1"/>
  <c r="X192" i="2" a="1"/>
  <c r="X192" i="2" s="1"/>
  <c r="V159" i="2"/>
  <c r="W159" i="2" s="1"/>
  <c r="AE159" i="2" s="1"/>
  <c r="AF58" i="2"/>
  <c r="AF147" i="2"/>
  <c r="AF52" i="2"/>
  <c r="AF88" i="2"/>
  <c r="AF255" i="2"/>
  <c r="AF386" i="2"/>
  <c r="AF461" i="2"/>
  <c r="AD529" i="2"/>
  <c r="AF529" i="2" s="1"/>
  <c r="AF619" i="2"/>
  <c r="AF718" i="2"/>
  <c r="V173" i="2"/>
  <c r="W173" i="2" s="1"/>
  <c r="V57" i="2"/>
  <c r="W57" i="2" s="1"/>
  <c r="V195" i="2"/>
  <c r="W195" i="2" s="1"/>
  <c r="V676" i="2"/>
  <c r="W676" i="2" s="1"/>
  <c r="AE676" i="2" s="1"/>
  <c r="X603" i="2" a="1"/>
  <c r="X603" i="2" s="1"/>
  <c r="Y603" i="2"/>
  <c r="Z603" i="2" s="1"/>
  <c r="V126" i="2"/>
  <c r="W126" i="2" s="1"/>
  <c r="AF176" i="2"/>
  <c r="V574" i="2"/>
  <c r="W574" i="2" s="1"/>
  <c r="V531" i="2"/>
  <c r="W531" i="2" s="1"/>
  <c r="AE531" i="2" s="1"/>
  <c r="V365" i="2"/>
  <c r="W365" i="2" s="1"/>
  <c r="AE365" i="2" s="1"/>
  <c r="V352" i="2"/>
  <c r="W352" i="2" s="1"/>
  <c r="AD352" i="2" s="1"/>
  <c r="V189" i="2"/>
  <c r="W189" i="2" s="1"/>
  <c r="AD189" i="2" s="1"/>
  <c r="AF374" i="2"/>
  <c r="AF115" i="2"/>
  <c r="AF170" i="2"/>
  <c r="AE685" i="2"/>
  <c r="AD685" i="2"/>
  <c r="AF685" i="2" s="1"/>
  <c r="AD514" i="2"/>
  <c r="AE514" i="2"/>
  <c r="AF514" i="2" s="1"/>
  <c r="AF218" i="2"/>
  <c r="AE618" i="2"/>
  <c r="AD618" i="2"/>
  <c r="V427" i="2"/>
  <c r="W427" i="2" s="1"/>
  <c r="AE427" i="2" s="1"/>
  <c r="AF32" i="2"/>
  <c r="AF481" i="2"/>
  <c r="AE438" i="2"/>
  <c r="AF438" i="2" s="1"/>
  <c r="AF540" i="2"/>
  <c r="AE760" i="2"/>
  <c r="AD760" i="2"/>
  <c r="AD410" i="2"/>
  <c r="AE410" i="2"/>
  <c r="AF7" i="2"/>
  <c r="AD495" i="2"/>
  <c r="AE495" i="2"/>
  <c r="V443" i="2"/>
  <c r="W443" i="2" s="1"/>
  <c r="AD443" i="2" s="1"/>
  <c r="V471" i="2"/>
  <c r="W471" i="2" s="1"/>
  <c r="AE471" i="2" s="1"/>
  <c r="AE321" i="2"/>
  <c r="AD321" i="2"/>
  <c r="AE43" i="2"/>
  <c r="AF43" i="2" s="1"/>
  <c r="AF353" i="2"/>
  <c r="AF398" i="2"/>
  <c r="AE596" i="2"/>
  <c r="AF596" i="2" s="1"/>
  <c r="X566" i="2" a="1"/>
  <c r="X566" i="2" s="1"/>
  <c r="Y566" i="2"/>
  <c r="Z566" i="2" s="1"/>
  <c r="AE566" i="2"/>
  <c r="AD566" i="2"/>
  <c r="AE313" i="2"/>
  <c r="AD313" i="2"/>
  <c r="X313" i="2" a="1"/>
  <c r="X313" i="2" s="1"/>
  <c r="AF305" i="2"/>
  <c r="AF48" i="2"/>
  <c r="AF235" i="2"/>
  <c r="AF487" i="2"/>
  <c r="AE458" i="2"/>
  <c r="AF436" i="2"/>
  <c r="AE453" i="2"/>
  <c r="AF453" i="2" s="1"/>
  <c r="AF589" i="2"/>
  <c r="AF105" i="2"/>
  <c r="AF661" i="2"/>
  <c r="Y146" i="2"/>
  <c r="Z146" i="2" s="1"/>
  <c r="AD146" i="2"/>
  <c r="AE146" i="2"/>
  <c r="AD766" i="2"/>
  <c r="AF766" i="2" s="1"/>
  <c r="AE766" i="2"/>
  <c r="V663" i="2"/>
  <c r="W663" i="2" s="1"/>
  <c r="AD663" i="2" s="1"/>
  <c r="AD348" i="2"/>
  <c r="AE348" i="2"/>
  <c r="AD209" i="2"/>
  <c r="AE209" i="2"/>
  <c r="V447" i="2"/>
  <c r="W447" i="2" s="1"/>
  <c r="AF458" i="2"/>
  <c r="V27" i="2"/>
  <c r="W27" i="2" s="1"/>
  <c r="AE27" i="2" s="1"/>
  <c r="AF107" i="2"/>
  <c r="AF151" i="2"/>
  <c r="AF242" i="2"/>
  <c r="AF287" i="2"/>
  <c r="AF400" i="2"/>
  <c r="AF482" i="2"/>
  <c r="AE492" i="2"/>
  <c r="AF492" i="2" s="1"/>
  <c r="AE329" i="2"/>
  <c r="X329" i="2" a="1"/>
  <c r="X329" i="2" s="1"/>
  <c r="V767" i="2"/>
  <c r="W767" i="2" s="1"/>
  <c r="AE767" i="2" s="1"/>
  <c r="V765" i="2"/>
  <c r="W765" i="2" s="1"/>
  <c r="AE765" i="2" s="1"/>
  <c r="V377" i="2"/>
  <c r="W377" i="2" s="1"/>
  <c r="V433" i="2"/>
  <c r="W433" i="2" s="1"/>
  <c r="Y433" i="2" s="1"/>
  <c r="Z433" i="2" s="1"/>
  <c r="V373" i="2"/>
  <c r="W373" i="2" s="1"/>
  <c r="AE373" i="2" s="1"/>
  <c r="V415" i="2"/>
  <c r="W415" i="2" s="1"/>
  <c r="Y415" i="2" s="1"/>
  <c r="Z415" i="2" s="1"/>
  <c r="V376" i="2"/>
  <c r="W376" i="2" s="1"/>
  <c r="AE376" i="2" s="1"/>
  <c r="V330" i="2"/>
  <c r="W330" i="2" s="1"/>
  <c r="AD330" i="2" s="1"/>
  <c r="V344" i="2"/>
  <c r="W344" i="2" s="1"/>
  <c r="V312" i="2"/>
  <c r="W312" i="2" s="1"/>
  <c r="AD312" i="2" s="1"/>
  <c r="V391" i="2"/>
  <c r="W391" i="2" s="1"/>
  <c r="V379" i="2"/>
  <c r="W379" i="2" s="1"/>
  <c r="X379" i="2" s="1" a="1"/>
  <c r="X379" i="2" s="1"/>
  <c r="AF17" i="2"/>
  <c r="AF164" i="2"/>
  <c r="AF431" i="2"/>
  <c r="AF517" i="2"/>
  <c r="Y22" i="2"/>
  <c r="Z22" i="2" s="1"/>
  <c r="X22" i="2" a="1"/>
  <c r="X22" i="2" s="1"/>
  <c r="Y713" i="2"/>
  <c r="Z713" i="2" s="1"/>
  <c r="X713" i="2" a="1"/>
  <c r="X713" i="2" s="1"/>
  <c r="AF537" i="2"/>
  <c r="AF665" i="2"/>
  <c r="AF741" i="2"/>
  <c r="X170" i="2" a="1"/>
  <c r="X170" i="2" s="1"/>
  <c r="V268" i="2"/>
  <c r="W268" i="2" s="1"/>
  <c r="AE268" i="2" s="1"/>
  <c r="V334" i="2"/>
  <c r="W334" i="2" s="1"/>
  <c r="V309" i="2"/>
  <c r="W309" i="2" s="1"/>
  <c r="Y309" i="2" s="1"/>
  <c r="Z309" i="2" s="1"/>
  <c r="V314" i="2"/>
  <c r="W314" i="2" s="1"/>
  <c r="X314" i="2" s="1" a="1"/>
  <c r="X314" i="2" s="1"/>
  <c r="V269" i="2"/>
  <c r="W269" i="2" s="1"/>
  <c r="AD269" i="2" s="1"/>
  <c r="V301" i="2"/>
  <c r="W301" i="2" s="1"/>
  <c r="AD301" i="2" s="1"/>
  <c r="V274" i="2"/>
  <c r="W274" i="2" s="1"/>
  <c r="AD274" i="2" s="1"/>
  <c r="V69" i="2"/>
  <c r="W69" i="2" s="1"/>
  <c r="Y69" i="2" s="1"/>
  <c r="Z69" i="2" s="1"/>
  <c r="AE137" i="2"/>
  <c r="AF137" i="2" s="1"/>
  <c r="AF122" i="2"/>
  <c r="AF36" i="2"/>
  <c r="AF68" i="2"/>
  <c r="AF100" i="2"/>
  <c r="AF136" i="2"/>
  <c r="AE76" i="2"/>
  <c r="AE140" i="2"/>
  <c r="AF140" i="2" s="1"/>
  <c r="AF155" i="2"/>
  <c r="AD192" i="2"/>
  <c r="AF192" i="2" s="1"/>
  <c r="AF345" i="2"/>
  <c r="AF323" i="2"/>
  <c r="AF380" i="2"/>
  <c r="AF408" i="2"/>
  <c r="AF349" i="2"/>
  <c r="AF412" i="2"/>
  <c r="AF457" i="2"/>
  <c r="AF390" i="2"/>
  <c r="AF429" i="2"/>
  <c r="AE518" i="2"/>
  <c r="AF518" i="2" s="1"/>
  <c r="AF541" i="2"/>
  <c r="AF565" i="2"/>
  <c r="AF625" i="2"/>
  <c r="AF651" i="2"/>
  <c r="AF632" i="2"/>
  <c r="AD648" i="2"/>
  <c r="AF648" i="2" s="1"/>
  <c r="AD681" i="2"/>
  <c r="AF681" i="2" s="1"/>
  <c r="AF731" i="2"/>
  <c r="V149" i="2"/>
  <c r="W149" i="2" s="1"/>
  <c r="V85" i="2"/>
  <c r="W85" i="2" s="1"/>
  <c r="AE85" i="2" s="1"/>
  <c r="Y170" i="2"/>
  <c r="Z170" i="2" s="1"/>
  <c r="V19" i="2"/>
  <c r="W19" i="2" s="1"/>
  <c r="Y645" i="2"/>
  <c r="Z645" i="2" s="1"/>
  <c r="X645" i="2" a="1"/>
  <c r="X645" i="2" s="1"/>
  <c r="V588" i="2"/>
  <c r="W588" i="2" s="1"/>
  <c r="V643" i="2"/>
  <c r="W643" i="2" s="1"/>
  <c r="V702" i="2"/>
  <c r="W702" i="2" s="1"/>
  <c r="V134" i="2"/>
  <c r="W134" i="2" s="1"/>
  <c r="AF633" i="2"/>
  <c r="AF650" i="2"/>
  <c r="AF682" i="2"/>
  <c r="AF756" i="2"/>
  <c r="AE757" i="2"/>
  <c r="AF757" i="2" s="1"/>
  <c r="Y140" i="2"/>
  <c r="Z140" i="2" s="1"/>
  <c r="X162" i="2" a="1"/>
  <c r="X162" i="2" s="1"/>
  <c r="Y162" i="2"/>
  <c r="Z162" i="2" s="1"/>
  <c r="Y370" i="2"/>
  <c r="Z370" i="2" s="1"/>
  <c r="X370" i="2" a="1"/>
  <c r="X370" i="2" s="1"/>
  <c r="V463" i="2"/>
  <c r="W463" i="2" s="1"/>
  <c r="AE463" i="2" s="1"/>
  <c r="AF394" i="2"/>
  <c r="AF4" i="2"/>
  <c r="AF90" i="2"/>
  <c r="AF138" i="2"/>
  <c r="AF83" i="2"/>
  <c r="AF123" i="2"/>
  <c r="AF44" i="2"/>
  <c r="AD76" i="2"/>
  <c r="AF108" i="2"/>
  <c r="AF144" i="2"/>
  <c r="AE240" i="2"/>
  <c r="AF240" i="2" s="1"/>
  <c r="AF439" i="2"/>
  <c r="AF502" i="2"/>
  <c r="AF549" i="2"/>
  <c r="AF548" i="2"/>
  <c r="AF571" i="2"/>
  <c r="AF523" i="2"/>
  <c r="AF603" i="2"/>
  <c r="AF634" i="2"/>
  <c r="AF664" i="2"/>
  <c r="AD686" i="2"/>
  <c r="AE686" i="2"/>
  <c r="AF703" i="2"/>
  <c r="AE713" i="2"/>
  <c r="AF748" i="2"/>
  <c r="V201" i="2"/>
  <c r="W201" i="2" s="1"/>
  <c r="X182" i="2" a="1"/>
  <c r="X182" i="2" s="1"/>
  <c r="V73" i="2"/>
  <c r="W73" i="2" s="1"/>
  <c r="V79" i="2"/>
  <c r="W79" i="2" s="1"/>
  <c r="V721" i="2"/>
  <c r="W721" i="2" s="1"/>
  <c r="Y398" i="2"/>
  <c r="Z398" i="2" s="1"/>
  <c r="X398" i="2" a="1"/>
  <c r="X398" i="2" s="1"/>
  <c r="V568" i="2"/>
  <c r="W568" i="2" s="1"/>
  <c r="AE568" i="2" s="1"/>
  <c r="V534" i="2"/>
  <c r="W534" i="2" s="1"/>
  <c r="AD534" i="2" s="1"/>
  <c r="V524" i="2"/>
  <c r="W524" i="2" s="1"/>
  <c r="AD524" i="2" s="1"/>
  <c r="V469" i="2"/>
  <c r="W469" i="2" s="1"/>
  <c r="AE469" i="2" s="1"/>
  <c r="V381" i="2"/>
  <c r="W381" i="2" s="1"/>
  <c r="AE381" i="2" s="1"/>
  <c r="V393" i="2"/>
  <c r="W393" i="2" s="1"/>
  <c r="V332" i="2"/>
  <c r="W332" i="2" s="1"/>
  <c r="AD332" i="2" s="1"/>
  <c r="V383" i="2"/>
  <c r="W383" i="2" s="1"/>
  <c r="AE383" i="2" s="1"/>
  <c r="V350" i="2"/>
  <c r="W350" i="2" s="1"/>
  <c r="AE350" i="2" s="1"/>
  <c r="V326" i="2"/>
  <c r="W326" i="2" s="1"/>
  <c r="AD326" i="2" s="1"/>
  <c r="V294" i="2"/>
  <c r="W294" i="2" s="1"/>
  <c r="AD294" i="2" s="1"/>
  <c r="V399" i="2"/>
  <c r="W399" i="2" s="1"/>
  <c r="AE399" i="2" s="1"/>
  <c r="V397" i="2"/>
  <c r="W397" i="2" s="1"/>
  <c r="V336" i="2"/>
  <c r="W336" i="2" s="1"/>
  <c r="AE336" i="2" s="1"/>
  <c r="V387" i="2"/>
  <c r="W387" i="2" s="1"/>
  <c r="AE387" i="2" s="1"/>
  <c r="V282" i="2"/>
  <c r="W282" i="2" s="1"/>
  <c r="AE282" i="2" s="1"/>
  <c r="V262" i="2"/>
  <c r="W262" i="2" s="1"/>
  <c r="AD262" i="2" s="1"/>
  <c r="V31" i="2"/>
  <c r="W31" i="2" s="1"/>
  <c r="V55" i="2"/>
  <c r="W55" i="2" s="1"/>
  <c r="X55" i="2" s="1" a="1"/>
  <c r="X55" i="2" s="1"/>
  <c r="AD38" i="2"/>
  <c r="AF38" i="2" s="1"/>
  <c r="AF15" i="2"/>
  <c r="AF91" i="2"/>
  <c r="AF127" i="2"/>
  <c r="AF80" i="2"/>
  <c r="AF112" i="2"/>
  <c r="AF251" i="2"/>
  <c r="AF215" i="2"/>
  <c r="AD254" i="2"/>
  <c r="AF319" i="2"/>
  <c r="AF384" i="2"/>
  <c r="AF406" i="2"/>
  <c r="AF510" i="2"/>
  <c r="AF472" i="2"/>
  <c r="AF526" i="2"/>
  <c r="AF579" i="2"/>
  <c r="AF662" i="2"/>
  <c r="AF581" i="2"/>
  <c r="AD672" i="2"/>
  <c r="AF672" i="2" s="1"/>
  <c r="AF764" i="2"/>
  <c r="V89" i="2"/>
  <c r="W89" i="2" s="1"/>
  <c r="V117" i="2"/>
  <c r="W117" i="2" s="1"/>
  <c r="AE117" i="2" s="1"/>
  <c r="Y92" i="2"/>
  <c r="Z92" i="2" s="1"/>
  <c r="X737" i="2" a="1"/>
  <c r="X737" i="2" s="1"/>
  <c r="Y737" i="2"/>
  <c r="Z737" i="2" s="1"/>
  <c r="X551" i="2" a="1"/>
  <c r="X551" i="2" s="1"/>
  <c r="Y551" i="2"/>
  <c r="Z551" i="2" s="1"/>
  <c r="V297" i="2"/>
  <c r="W297" i="2" s="1"/>
  <c r="Y380" i="2"/>
  <c r="Z380" i="2" s="1"/>
  <c r="X380" i="2" a="1"/>
  <c r="X380" i="2" s="1"/>
  <c r="AF378" i="2"/>
  <c r="V193" i="2"/>
  <c r="W193" i="2" s="1"/>
  <c r="V253" i="2"/>
  <c r="W253" i="2" s="1"/>
  <c r="AE253" i="2" s="1"/>
  <c r="V204" i="2"/>
  <c r="W204" i="2" s="1"/>
  <c r="X204" i="2" s="1" a="1"/>
  <c r="X204" i="2" s="1"/>
  <c r="AE92" i="2"/>
  <c r="AF92" i="2" s="1"/>
  <c r="AF175" i="2"/>
  <c r="AE394" i="2"/>
  <c r="AE333" i="2"/>
  <c r="AF333" i="2" s="1"/>
  <c r="AF422" i="2"/>
  <c r="AF307" i="2"/>
  <c r="AF369" i="2"/>
  <c r="AF638" i="2"/>
  <c r="AF652" i="2"/>
  <c r="AF641" i="2"/>
  <c r="AD747" i="2"/>
  <c r="AD768" i="2"/>
  <c r="AF768" i="2" s="1"/>
  <c r="Y240" i="2"/>
  <c r="Z240" i="2" s="1"/>
  <c r="Y72" i="2"/>
  <c r="Z72" i="2" s="1"/>
  <c r="Y76" i="2"/>
  <c r="Z76" i="2" s="1"/>
  <c r="Y706" i="2"/>
  <c r="Z706" i="2" s="1"/>
  <c r="X706" i="2" a="1"/>
  <c r="X706" i="2" s="1"/>
  <c r="Y150" i="2"/>
  <c r="Z150" i="2" s="1"/>
  <c r="X150" i="2" a="1"/>
  <c r="X150" i="2" s="1"/>
  <c r="V206" i="2"/>
  <c r="W206" i="2" s="1"/>
  <c r="AF740" i="2"/>
  <c r="AD713" i="2"/>
  <c r="AF736" i="2"/>
  <c r="AE747" i="2"/>
  <c r="AF772" i="2"/>
  <c r="V59" i="2"/>
  <c r="W59" i="2" s="1"/>
  <c r="AD59" i="2" s="1"/>
  <c r="X736" i="2" a="1"/>
  <c r="X736" i="2" s="1"/>
  <c r="Y736" i="2"/>
  <c r="Z736" i="2" s="1"/>
  <c r="R4" i="1"/>
  <c r="S4" i="1" s="1"/>
  <c r="T4" i="1" s="1"/>
  <c r="U4" i="1" s="1"/>
  <c r="O54" i="1" s="1"/>
  <c r="P54" i="1" s="1"/>
  <c r="R7" i="1"/>
  <c r="S7" i="1" s="1"/>
  <c r="T7" i="1" s="1"/>
  <c r="U7" i="1" s="1"/>
  <c r="R9" i="1"/>
  <c r="S9" i="1" s="1"/>
  <c r="T9" i="1" s="1"/>
  <c r="U9" i="1" s="1"/>
  <c r="O56" i="1" s="1"/>
  <c r="P56" i="1" s="1"/>
  <c r="R21" i="1"/>
  <c r="S21" i="1" s="1"/>
  <c r="T21" i="1" s="1"/>
  <c r="U21" i="1" s="1"/>
  <c r="O85" i="1" s="1"/>
  <c r="P85" i="1" s="1"/>
  <c r="R29" i="1"/>
  <c r="S29" i="1" s="1"/>
  <c r="T29" i="1" s="1"/>
  <c r="U29" i="1" s="1"/>
  <c r="O84" i="1" s="1"/>
  <c r="P84" i="1" s="1"/>
  <c r="R17" i="1"/>
  <c r="S17" i="1" s="1"/>
  <c r="T17" i="1" s="1"/>
  <c r="U17" i="1" s="1"/>
  <c r="L78" i="1" s="1"/>
  <c r="M78" i="1" s="1"/>
  <c r="R12" i="1"/>
  <c r="S12" i="1" s="1"/>
  <c r="T12" i="1" s="1"/>
  <c r="U12" i="1" s="1"/>
  <c r="R23" i="1"/>
  <c r="S23" i="1" s="1"/>
  <c r="T23" i="1" s="1"/>
  <c r="U23" i="1" s="1"/>
  <c r="O87" i="1" s="1"/>
  <c r="P87" i="1" s="1"/>
  <c r="R6" i="1"/>
  <c r="S6" i="1" s="1"/>
  <c r="T6" i="1" s="1"/>
  <c r="U6" i="1" s="1"/>
  <c r="R14" i="1"/>
  <c r="S14" i="1" s="1"/>
  <c r="T14" i="1" s="1"/>
  <c r="U14" i="1" s="1"/>
  <c r="L75" i="1" s="1"/>
  <c r="M75" i="1" s="1"/>
  <c r="R28" i="1"/>
  <c r="S28" i="1" s="1"/>
  <c r="T28" i="1" s="1"/>
  <c r="U28" i="1" s="1"/>
  <c r="O61" i="1" s="1"/>
  <c r="P61" i="1" s="1"/>
  <c r="R8" i="1"/>
  <c r="S8" i="1" s="1"/>
  <c r="T8" i="1" s="1"/>
  <c r="U8" i="1" s="1"/>
  <c r="O55" i="1" s="1"/>
  <c r="P55" i="1" s="1"/>
  <c r="R16" i="1"/>
  <c r="S16" i="1" s="1"/>
  <c r="T16" i="1" s="1"/>
  <c r="U16" i="1" s="1"/>
  <c r="L77" i="1" s="1"/>
  <c r="M77" i="1" s="1"/>
  <c r="R15" i="1"/>
  <c r="S15" i="1" s="1"/>
  <c r="T15" i="1" s="1"/>
  <c r="U15" i="1" s="1"/>
  <c r="L76" i="1" s="1"/>
  <c r="M76" i="1" s="1"/>
  <c r="R18" i="1"/>
  <c r="S18" i="1" s="1"/>
  <c r="T18" i="1" s="1"/>
  <c r="U18" i="1" s="1"/>
  <c r="L79" i="1" s="1"/>
  <c r="M79" i="1" s="1"/>
  <c r="R13" i="1"/>
  <c r="S13" i="1" s="1"/>
  <c r="T13" i="1" s="1"/>
  <c r="U13" i="1" s="1"/>
  <c r="L74" i="1" s="1"/>
  <c r="M74" i="1" s="1"/>
  <c r="R31" i="1"/>
  <c r="S31" i="1" s="1"/>
  <c r="T31" i="1" s="1"/>
  <c r="U31" i="1" s="1"/>
  <c r="O63" i="1" s="1"/>
  <c r="P63" i="1" s="1"/>
  <c r="R32" i="1"/>
  <c r="S32" i="1" s="1"/>
  <c r="T32" i="1" s="1"/>
  <c r="U32" i="1" s="1"/>
  <c r="O64" i="1" s="1"/>
  <c r="P64" i="1" s="1"/>
  <c r="R19" i="1"/>
  <c r="S19" i="1" s="1"/>
  <c r="T19" i="1" s="1"/>
  <c r="U19" i="1" s="1"/>
  <c r="L80" i="1" s="1"/>
  <c r="M80" i="1" s="1"/>
  <c r="R24" i="1"/>
  <c r="S24" i="1" s="1"/>
  <c r="T24" i="1" s="1"/>
  <c r="U24" i="1" s="1"/>
  <c r="R30" i="1"/>
  <c r="S30" i="1" s="1"/>
  <c r="T30" i="1" s="1"/>
  <c r="U30" i="1" s="1"/>
  <c r="O62" i="1" s="1"/>
  <c r="P62" i="1" s="1"/>
  <c r="R36" i="1"/>
  <c r="S36" i="1" s="1"/>
  <c r="T36" i="1" s="1"/>
  <c r="U36" i="1" s="1"/>
  <c r="R10" i="1"/>
  <c r="S10" i="1" s="1"/>
  <c r="T10" i="1" s="1"/>
  <c r="U10" i="1" s="1"/>
  <c r="O57" i="1" s="1"/>
  <c r="P57" i="1" s="1"/>
  <c r="Y130" i="2"/>
  <c r="Z130" i="2" s="1"/>
  <c r="X130" i="2" a="1"/>
  <c r="X130" i="2" s="1"/>
  <c r="AE130" i="2"/>
  <c r="AD130" i="2"/>
  <c r="Y198" i="2"/>
  <c r="Z198" i="2" s="1"/>
  <c r="X198" i="2" a="1"/>
  <c r="X198" i="2" s="1"/>
  <c r="AE198" i="2"/>
  <c r="AD198" i="2"/>
  <c r="AF254" i="2"/>
  <c r="AF618" i="2"/>
  <c r="Y30" i="2"/>
  <c r="Z30" i="2" s="1"/>
  <c r="X30" i="2" a="1"/>
  <c r="X30" i="2" s="1"/>
  <c r="AE30" i="2"/>
  <c r="AD30" i="2"/>
  <c r="AF321" i="2"/>
  <c r="Y62" i="2"/>
  <c r="Z62" i="2" s="1"/>
  <c r="X62" i="2" a="1"/>
  <c r="X62" i="2" s="1"/>
  <c r="AE62" i="2"/>
  <c r="AD62" i="2"/>
  <c r="Y66" i="2"/>
  <c r="Z66" i="2" s="1"/>
  <c r="X66" i="2" a="1"/>
  <c r="X66" i="2" s="1"/>
  <c r="AE66" i="2"/>
  <c r="AD66" i="2"/>
  <c r="X758" i="2" a="1"/>
  <c r="X758" i="2" s="1"/>
  <c r="Y758" i="2"/>
  <c r="Z758" i="2" s="1"/>
  <c r="AD758" i="2"/>
  <c r="AF758" i="2" s="1"/>
  <c r="AE758" i="2"/>
  <c r="Y659" i="2"/>
  <c r="Z659" i="2" s="1"/>
  <c r="X659" i="2" a="1"/>
  <c r="X659" i="2" s="1"/>
  <c r="AE659" i="2"/>
  <c r="AD659" i="2"/>
  <c r="Y94" i="2"/>
  <c r="Z94" i="2" s="1"/>
  <c r="X94" i="2" a="1"/>
  <c r="X94" i="2" s="1"/>
  <c r="AE94" i="2"/>
  <c r="AD94" i="2"/>
  <c r="X750" i="2" a="1"/>
  <c r="X750" i="2" s="1"/>
  <c r="Y750" i="2"/>
  <c r="Z750" i="2" s="1"/>
  <c r="AE750" i="2"/>
  <c r="AD750" i="2"/>
  <c r="Y126" i="2"/>
  <c r="Z126" i="2" s="1"/>
  <c r="X126" i="2" a="1"/>
  <c r="X126" i="2" s="1"/>
  <c r="AE126" i="2"/>
  <c r="AD126" i="2"/>
  <c r="Y82" i="2"/>
  <c r="Z82" i="2" s="1"/>
  <c r="AF188" i="2"/>
  <c r="Y98" i="2"/>
  <c r="Z98" i="2" s="1"/>
  <c r="X98" i="2" a="1"/>
  <c r="X98" i="2" s="1"/>
  <c r="AE98" i="2"/>
  <c r="AD98" i="2"/>
  <c r="Y102" i="2"/>
  <c r="Z102" i="2" s="1"/>
  <c r="X102" i="2" a="1"/>
  <c r="X102" i="2" s="1"/>
  <c r="AD102" i="2"/>
  <c r="AE102" i="2"/>
  <c r="Y6" i="2"/>
  <c r="Z6" i="2" s="1"/>
  <c r="X6" i="2" a="1"/>
  <c r="X6" i="2" s="1"/>
  <c r="AE6" i="2"/>
  <c r="AD6" i="2"/>
  <c r="AF6" i="2" s="1"/>
  <c r="Y743" i="2"/>
  <c r="Z743" i="2" s="1"/>
  <c r="X743" i="2" a="1"/>
  <c r="X743" i="2" s="1"/>
  <c r="Y704" i="2"/>
  <c r="Z704" i="2" s="1"/>
  <c r="X704" i="2" a="1"/>
  <c r="X704" i="2" s="1"/>
  <c r="X683" i="2" a="1"/>
  <c r="X683" i="2" s="1"/>
  <c r="Y683" i="2"/>
  <c r="Z683" i="2" s="1"/>
  <c r="X391" i="2" a="1"/>
  <c r="X391" i="2" s="1"/>
  <c r="Y391" i="2"/>
  <c r="Z391" i="2" s="1"/>
  <c r="X217" i="2" a="1"/>
  <c r="X217" i="2" s="1"/>
  <c r="Y217" i="2"/>
  <c r="Z217" i="2" s="1"/>
  <c r="X276" i="2" a="1"/>
  <c r="X276" i="2" s="1"/>
  <c r="Y276" i="2"/>
  <c r="Z276" i="2" s="1"/>
  <c r="Y202" i="2"/>
  <c r="Z202" i="2" s="1"/>
  <c r="X202" i="2" a="1"/>
  <c r="X202" i="2" s="1"/>
  <c r="Y42" i="2"/>
  <c r="Z42" i="2" s="1"/>
  <c r="X42" i="2" a="1"/>
  <c r="X42" i="2" s="1"/>
  <c r="AD239" i="2"/>
  <c r="AF239" i="2" s="1"/>
  <c r="AD373" i="2"/>
  <c r="AF373" i="2" s="1"/>
  <c r="AD486" i="2"/>
  <c r="AF486" i="2" s="1"/>
  <c r="AE534" i="2"/>
  <c r="AF534" i="2" s="1"/>
  <c r="AD733" i="2"/>
  <c r="AF733" i="2" s="1"/>
  <c r="AE749" i="2"/>
  <c r="AF749" i="2" s="1"/>
  <c r="X128" i="2" a="1"/>
  <c r="X128" i="2" s="1"/>
  <c r="Y128" i="2"/>
  <c r="Z128" i="2" s="1"/>
  <c r="AD21" i="2"/>
  <c r="AF21" i="2" s="1"/>
  <c r="Y59" i="2"/>
  <c r="Z59" i="2" s="1"/>
  <c r="X197" i="2" a="1"/>
  <c r="X197" i="2" s="1"/>
  <c r="Y197" i="2"/>
  <c r="Z197" i="2" s="1"/>
  <c r="Y18" i="2"/>
  <c r="Z18" i="2" s="1"/>
  <c r="X18" i="2" a="1"/>
  <c r="X18" i="2" s="1"/>
  <c r="Y9" i="2"/>
  <c r="Z9" i="2" s="1"/>
  <c r="X9" i="2" a="1"/>
  <c r="X9" i="2" s="1"/>
  <c r="Y10" i="2"/>
  <c r="Z10" i="2" s="1"/>
  <c r="X10" i="2" a="1"/>
  <c r="X10" i="2" s="1"/>
  <c r="Y539" i="2"/>
  <c r="Z539" i="2" s="1"/>
  <c r="X539" i="2" a="1"/>
  <c r="X539" i="2" s="1"/>
  <c r="X546" i="2" a="1"/>
  <c r="X546" i="2" s="1"/>
  <c r="Y546" i="2"/>
  <c r="Z546" i="2" s="1"/>
  <c r="Y583" i="2"/>
  <c r="Z583" i="2" s="1"/>
  <c r="X583" i="2" a="1"/>
  <c r="X583" i="2" s="1"/>
  <c r="X578" i="2" a="1"/>
  <c r="X578" i="2" s="1"/>
  <c r="Y578" i="2"/>
  <c r="Z578" i="2" s="1"/>
  <c r="Y557" i="2"/>
  <c r="Z557" i="2" s="1"/>
  <c r="X557" i="2" a="1"/>
  <c r="X557" i="2" s="1"/>
  <c r="Y528" i="2"/>
  <c r="Z528" i="2" s="1"/>
  <c r="X528" i="2" a="1"/>
  <c r="X528" i="2" s="1"/>
  <c r="X562" i="2" a="1"/>
  <c r="X562" i="2" s="1"/>
  <c r="Y562" i="2"/>
  <c r="Z562" i="2" s="1"/>
  <c r="Y522" i="2"/>
  <c r="Z522" i="2" s="1"/>
  <c r="X522" i="2" a="1"/>
  <c r="X522" i="2" s="1"/>
  <c r="X462" i="2" a="1"/>
  <c r="X462" i="2" s="1"/>
  <c r="Y462" i="2"/>
  <c r="Z462" i="2" s="1"/>
  <c r="X488" i="2" a="1"/>
  <c r="X488" i="2" s="1"/>
  <c r="Y488" i="2"/>
  <c r="Z488" i="2" s="1"/>
  <c r="V455" i="2"/>
  <c r="W455" i="2" s="1"/>
  <c r="Y444" i="2"/>
  <c r="Z444" i="2" s="1"/>
  <c r="X444" i="2" a="1"/>
  <c r="X444" i="2" s="1"/>
  <c r="X442" i="2" a="1"/>
  <c r="X442" i="2" s="1"/>
  <c r="Y442" i="2"/>
  <c r="Z442" i="2" s="1"/>
  <c r="X409" i="2" a="1"/>
  <c r="X409" i="2" s="1"/>
  <c r="Y409" i="2"/>
  <c r="Z409" i="2" s="1"/>
  <c r="Y352" i="2"/>
  <c r="Z352" i="2" s="1"/>
  <c r="Y272" i="2"/>
  <c r="Z272" i="2" s="1"/>
  <c r="X272" i="2" a="1"/>
  <c r="X272" i="2" s="1"/>
  <c r="Y256" i="2"/>
  <c r="Z256" i="2" s="1"/>
  <c r="X256" i="2" a="1"/>
  <c r="X256" i="2" s="1"/>
  <c r="X340" i="2" a="1"/>
  <c r="X340" i="2" s="1"/>
  <c r="Y340" i="2"/>
  <c r="Z340" i="2" s="1"/>
  <c r="X300" i="2" a="1"/>
  <c r="X300" i="2" s="1"/>
  <c r="Y300" i="2"/>
  <c r="Z300" i="2" s="1"/>
  <c r="X286" i="2" a="1"/>
  <c r="X286" i="2" s="1"/>
  <c r="Y286" i="2"/>
  <c r="Z286" i="2" s="1"/>
  <c r="Y238" i="2"/>
  <c r="Z238" i="2" s="1"/>
  <c r="X238" i="2" a="1"/>
  <c r="X238" i="2" s="1"/>
  <c r="Y273" i="2"/>
  <c r="Z273" i="2" s="1"/>
  <c r="X273" i="2" a="1"/>
  <c r="X273" i="2" s="1"/>
  <c r="Y257" i="2"/>
  <c r="Z257" i="2" s="1"/>
  <c r="X257" i="2" a="1"/>
  <c r="X257" i="2" s="1"/>
  <c r="X308" i="2" a="1"/>
  <c r="X308" i="2" s="1"/>
  <c r="Y308" i="2"/>
  <c r="Z308" i="2" s="1"/>
  <c r="X285" i="2" a="1"/>
  <c r="X285" i="2" s="1"/>
  <c r="X306" i="2" a="1"/>
  <c r="X306" i="2" s="1"/>
  <c r="Y306" i="2"/>
  <c r="Z306" i="2" s="1"/>
  <c r="X290" i="2" a="1"/>
  <c r="X290" i="2" s="1"/>
  <c r="Y290" i="2"/>
  <c r="Z290" i="2" s="1"/>
  <c r="X241" i="2" a="1"/>
  <c r="X241" i="2" s="1"/>
  <c r="Y241" i="2"/>
  <c r="Z241" i="2" s="1"/>
  <c r="X199" i="2" a="1"/>
  <c r="X199" i="2" s="1"/>
  <c r="X189" i="2" a="1"/>
  <c r="X189" i="2" s="1"/>
  <c r="Y189" i="2"/>
  <c r="Z189" i="2" s="1"/>
  <c r="X248" i="2" a="1"/>
  <c r="X248" i="2" s="1"/>
  <c r="Y248" i="2"/>
  <c r="Z248" i="2" s="1"/>
  <c r="V194" i="2"/>
  <c r="W194" i="2" s="1"/>
  <c r="V190" i="2"/>
  <c r="W190" i="2" s="1"/>
  <c r="Y159" i="2"/>
  <c r="Z159" i="2" s="1"/>
  <c r="X159" i="2" a="1"/>
  <c r="X159" i="2" s="1"/>
  <c r="X13" i="2" a="1"/>
  <c r="X13" i="2" s="1"/>
  <c r="Y13" i="2"/>
  <c r="Z13" i="2" s="1"/>
  <c r="AE143" i="2"/>
  <c r="AF143" i="2" s="1"/>
  <c r="AD213" i="2"/>
  <c r="AF213" i="2" s="1"/>
  <c r="AE222" i="2"/>
  <c r="AF222" i="2" s="1"/>
  <c r="AD247" i="2"/>
  <c r="AF247" i="2" s="1"/>
  <c r="AD238" i="2"/>
  <c r="AF238" i="2" s="1"/>
  <c r="AD300" i="2"/>
  <c r="AD248" i="2"/>
  <c r="AE317" i="2"/>
  <c r="AF317" i="2" s="1"/>
  <c r="AD421" i="2"/>
  <c r="AF421" i="2" s="1"/>
  <c r="AE290" i="2"/>
  <c r="AF290" i="2" s="1"/>
  <c r="AD285" i="2"/>
  <c r="AE435" i="2"/>
  <c r="AF435" i="2" s="1"/>
  <c r="AD355" i="2"/>
  <c r="AF355" i="2" s="1"/>
  <c r="AD470" i="2"/>
  <c r="AF470" i="2" s="1"/>
  <c r="AD488" i="2"/>
  <c r="AE462" i="2"/>
  <c r="AD490" i="2"/>
  <c r="AF490" i="2" s="1"/>
  <c r="AD448" i="2"/>
  <c r="AF448" i="2" s="1"/>
  <c r="AE444" i="2"/>
  <c r="AD501" i="2"/>
  <c r="AF501" i="2" s="1"/>
  <c r="AE525" i="2"/>
  <c r="AF525" i="2" s="1"/>
  <c r="AE552" i="2"/>
  <c r="AF552" i="2" s="1"/>
  <c r="AE499" i="2"/>
  <c r="AF499" i="2" s="1"/>
  <c r="AD630" i="2"/>
  <c r="AF630" i="2" s="1"/>
  <c r="AE599" i="2"/>
  <c r="AF599" i="2" s="1"/>
  <c r="AD535" i="2"/>
  <c r="AF535" i="2" s="1"/>
  <c r="AD583" i="2"/>
  <c r="AE663" i="2"/>
  <c r="AF663" i="2" s="1"/>
  <c r="AE636" i="2"/>
  <c r="AF636" i="2" s="1"/>
  <c r="AE631" i="2"/>
  <c r="AF631" i="2" s="1"/>
  <c r="AE671" i="2"/>
  <c r="AF671" i="2" s="1"/>
  <c r="AD647" i="2"/>
  <c r="AF647" i="2" s="1"/>
  <c r="AE624" i="2"/>
  <c r="AF624" i="2" s="1"/>
  <c r="AD690" i="2"/>
  <c r="AF690" i="2" s="1"/>
  <c r="AD722" i="2"/>
  <c r="AF722" i="2" s="1"/>
  <c r="Y127" i="2"/>
  <c r="Z127" i="2" s="1"/>
  <c r="X127" i="2" a="1"/>
  <c r="X127" i="2" s="1"/>
  <c r="V45" i="2"/>
  <c r="W45" i="2" s="1"/>
  <c r="V267" i="2"/>
  <c r="W267" i="2" s="1"/>
  <c r="X156" i="2" a="1"/>
  <c r="X156" i="2" s="1"/>
  <c r="Y156" i="2"/>
  <c r="Z156" i="2" s="1"/>
  <c r="Y90" i="2"/>
  <c r="Z90" i="2" s="1"/>
  <c r="X90" i="2" a="1"/>
  <c r="X90" i="2" s="1"/>
  <c r="AE9" i="2"/>
  <c r="X80" i="2" a="1"/>
  <c r="X80" i="2" s="1"/>
  <c r="Y80" i="2"/>
  <c r="Z80" i="2" s="1"/>
  <c r="Y46" i="2"/>
  <c r="Z46" i="2" s="1"/>
  <c r="X46" i="2" a="1"/>
  <c r="X46" i="2" s="1"/>
  <c r="V93" i="2"/>
  <c r="W93" i="2" s="1"/>
  <c r="X7" i="2" a="1"/>
  <c r="X7" i="2" s="1"/>
  <c r="Y7" i="2"/>
  <c r="Z7" i="2" s="1"/>
  <c r="Y622" i="2"/>
  <c r="Z622" i="2" s="1"/>
  <c r="X622" i="2" a="1"/>
  <c r="X622" i="2" s="1"/>
  <c r="X574" i="2" a="1"/>
  <c r="X574" i="2" s="1"/>
  <c r="Y574" i="2"/>
  <c r="Z574" i="2" s="1"/>
  <c r="Y475" i="2"/>
  <c r="Z475" i="2" s="1"/>
  <c r="X475" i="2" a="1"/>
  <c r="X475" i="2" s="1"/>
  <c r="X377" i="2" a="1"/>
  <c r="X377" i="2" s="1"/>
  <c r="Y377" i="2"/>
  <c r="Z377" i="2" s="1"/>
  <c r="X415" i="2" a="1"/>
  <c r="X415" i="2" s="1"/>
  <c r="X320" i="2" a="1"/>
  <c r="X320" i="2" s="1"/>
  <c r="Y320" i="2"/>
  <c r="Z320" i="2" s="1"/>
  <c r="X193" i="2" a="1"/>
  <c r="X193" i="2" s="1"/>
  <c r="Y193" i="2"/>
  <c r="Z193" i="2" s="1"/>
  <c r="AE585" i="2"/>
  <c r="AF585" i="2" s="1"/>
  <c r="AE653" i="2"/>
  <c r="AF653" i="2" s="1"/>
  <c r="AD683" i="2"/>
  <c r="Y173" i="2"/>
  <c r="Z173" i="2" s="1"/>
  <c r="X173" i="2" a="1"/>
  <c r="X173" i="2" s="1"/>
  <c r="Y34" i="2"/>
  <c r="Z34" i="2" s="1"/>
  <c r="X34" i="2" a="1"/>
  <c r="X34" i="2" s="1"/>
  <c r="Y191" i="2"/>
  <c r="Z191" i="2" s="1"/>
  <c r="X191" i="2" a="1"/>
  <c r="X191" i="2" s="1"/>
  <c r="Y78" i="2"/>
  <c r="Z78" i="2" s="1"/>
  <c r="X78" i="2" a="1"/>
  <c r="X78" i="2" s="1"/>
  <c r="Y174" i="2"/>
  <c r="Z174" i="2" s="1"/>
  <c r="X174" i="2" a="1"/>
  <c r="X174" i="2" s="1"/>
  <c r="X141" i="2" a="1"/>
  <c r="X141" i="2" s="1"/>
  <c r="Y141" i="2"/>
  <c r="Z141" i="2" s="1"/>
  <c r="Y763" i="2"/>
  <c r="Z763" i="2" s="1"/>
  <c r="X763" i="2" a="1"/>
  <c r="X763" i="2" s="1"/>
  <c r="X754" i="2" a="1"/>
  <c r="X754" i="2" s="1"/>
  <c r="Y754" i="2"/>
  <c r="Z754" i="2" s="1"/>
  <c r="X734" i="2" a="1"/>
  <c r="X734" i="2" s="1"/>
  <c r="Y734" i="2"/>
  <c r="Z734" i="2" s="1"/>
  <c r="Y684" i="2"/>
  <c r="Z684" i="2" s="1"/>
  <c r="X684" i="2" a="1"/>
  <c r="X684" i="2" s="1"/>
  <c r="Y680" i="2"/>
  <c r="Z680" i="2" s="1"/>
  <c r="X680" i="2" a="1"/>
  <c r="X680" i="2" s="1"/>
  <c r="Y658" i="2"/>
  <c r="Z658" i="2" s="1"/>
  <c r="X658" i="2" a="1"/>
  <c r="X658" i="2" s="1"/>
  <c r="X679" i="2" a="1"/>
  <c r="X679" i="2" s="1"/>
  <c r="Y679" i="2"/>
  <c r="Z679" i="2" s="1"/>
  <c r="Y689" i="2"/>
  <c r="Z689" i="2" s="1"/>
  <c r="X689" i="2" a="1"/>
  <c r="X689" i="2" s="1"/>
  <c r="Y670" i="2"/>
  <c r="Z670" i="2" s="1"/>
  <c r="X670" i="2" a="1"/>
  <c r="X670" i="2" s="1"/>
  <c r="Y618" i="2"/>
  <c r="Z618" i="2" s="1"/>
  <c r="X618" i="2" a="1"/>
  <c r="X618" i="2" s="1"/>
  <c r="Y614" i="2"/>
  <c r="Z614" i="2" s="1"/>
  <c r="X614" i="2" a="1"/>
  <c r="X614" i="2" s="1"/>
  <c r="Y596" i="2"/>
  <c r="Z596" i="2" s="1"/>
  <c r="X596" i="2" a="1"/>
  <c r="X596" i="2" s="1"/>
  <c r="X732" i="2" a="1"/>
  <c r="X732" i="2" s="1"/>
  <c r="Y732" i="2"/>
  <c r="Z732" i="2" s="1"/>
  <c r="X728" i="2" a="1"/>
  <c r="X728" i="2" s="1"/>
  <c r="Y728" i="2"/>
  <c r="Z728" i="2" s="1"/>
  <c r="X726" i="2" a="1"/>
  <c r="X726" i="2" s="1"/>
  <c r="Y726" i="2"/>
  <c r="Z726" i="2" s="1"/>
  <c r="V738" i="2"/>
  <c r="W738" i="2" s="1"/>
  <c r="Y700" i="2"/>
  <c r="Z700" i="2" s="1"/>
  <c r="X700" i="2" a="1"/>
  <c r="X700" i="2" s="1"/>
  <c r="V697" i="2"/>
  <c r="W697" i="2" s="1"/>
  <c r="V699" i="2"/>
  <c r="W699" i="2" s="1"/>
  <c r="V708" i="2"/>
  <c r="W708" i="2" s="1"/>
  <c r="Y604" i="2"/>
  <c r="Z604" i="2" s="1"/>
  <c r="X604" i="2" a="1"/>
  <c r="X604" i="2" s="1"/>
  <c r="V657" i="2"/>
  <c r="W657" i="2" s="1"/>
  <c r="V616" i="2"/>
  <c r="W616" i="2" s="1"/>
  <c r="Y536" i="2"/>
  <c r="Z536" i="2" s="1"/>
  <c r="X536" i="2" a="1"/>
  <c r="X536" i="2" s="1"/>
  <c r="V612" i="2"/>
  <c r="W612" i="2" s="1"/>
  <c r="X563" i="2" a="1"/>
  <c r="X563" i="2" s="1"/>
  <c r="Y563" i="2"/>
  <c r="Z563" i="2" s="1"/>
  <c r="V542" i="2"/>
  <c r="W542" i="2" s="1"/>
  <c r="X575" i="2" a="1"/>
  <c r="X575" i="2" s="1"/>
  <c r="Y575" i="2"/>
  <c r="Z575" i="2" s="1"/>
  <c r="X513" i="2" a="1"/>
  <c r="X513" i="2" s="1"/>
  <c r="Y513" i="2"/>
  <c r="Z513" i="2" s="1"/>
  <c r="Y505" i="2"/>
  <c r="Z505" i="2" s="1"/>
  <c r="X505" i="2" a="1"/>
  <c r="X505" i="2" s="1"/>
  <c r="V512" i="2"/>
  <c r="W512" i="2" s="1"/>
  <c r="Y452" i="2"/>
  <c r="Z452" i="2" s="1"/>
  <c r="X452" i="2" a="1"/>
  <c r="X452" i="2" s="1"/>
  <c r="V467" i="2"/>
  <c r="W467" i="2" s="1"/>
  <c r="V484" i="2"/>
  <c r="W484" i="2" s="1"/>
  <c r="X453" i="2" a="1"/>
  <c r="X453" i="2" s="1"/>
  <c r="Y453" i="2"/>
  <c r="Z453" i="2" s="1"/>
  <c r="V485" i="2"/>
  <c r="W485" i="2" s="1"/>
  <c r="X438" i="2" a="1"/>
  <c r="X438" i="2" s="1"/>
  <c r="Y438" i="2"/>
  <c r="Z438" i="2" s="1"/>
  <c r="V361" i="2"/>
  <c r="W361" i="2" s="1"/>
  <c r="Y410" i="2"/>
  <c r="Z410" i="2" s="1"/>
  <c r="X410" i="2" a="1"/>
  <c r="X410" i="2" s="1"/>
  <c r="Y372" i="2"/>
  <c r="Z372" i="2" s="1"/>
  <c r="X372" i="2" a="1"/>
  <c r="X372" i="2" s="1"/>
  <c r="V411" i="2"/>
  <c r="W411" i="2" s="1"/>
  <c r="V371" i="2"/>
  <c r="W371" i="2" s="1"/>
  <c r="V367" i="2"/>
  <c r="W367" i="2" s="1"/>
  <c r="V342" i="2"/>
  <c r="W342" i="2" s="1"/>
  <c r="V310" i="2"/>
  <c r="W310" i="2" s="1"/>
  <c r="V407" i="2"/>
  <c r="W407" i="2" s="1"/>
  <c r="Y366" i="2"/>
  <c r="Z366" i="2" s="1"/>
  <c r="X366" i="2" a="1"/>
  <c r="X366" i="2" s="1"/>
  <c r="V304" i="2"/>
  <c r="W304" i="2" s="1"/>
  <c r="V395" i="2"/>
  <c r="W395" i="2" s="1"/>
  <c r="Y214" i="2"/>
  <c r="Z214" i="2" s="1"/>
  <c r="X214" i="2" a="1"/>
  <c r="X214" i="2" s="1"/>
  <c r="V375" i="2"/>
  <c r="W375" i="2" s="1"/>
  <c r="V270" i="2"/>
  <c r="W270" i="2" s="1"/>
  <c r="V346" i="2"/>
  <c r="W346" i="2" s="1"/>
  <c r="V177" i="2"/>
  <c r="W177" i="2" s="1"/>
  <c r="V233" i="2"/>
  <c r="W233" i="2" s="1"/>
  <c r="V341" i="2"/>
  <c r="W341" i="2" s="1"/>
  <c r="V245" i="2"/>
  <c r="W245" i="2" s="1"/>
  <c r="V237" i="2"/>
  <c r="W237" i="2" s="1"/>
  <c r="V271" i="2"/>
  <c r="W271" i="2" s="1"/>
  <c r="V113" i="2"/>
  <c r="W113" i="2" s="1"/>
  <c r="V81" i="2"/>
  <c r="W81" i="2" s="1"/>
  <c r="X29" i="2" a="1"/>
  <c r="X29" i="2" s="1"/>
  <c r="Y29" i="2"/>
  <c r="Z29" i="2" s="1"/>
  <c r="AD13" i="2"/>
  <c r="AF13" i="2" s="1"/>
  <c r="Y54" i="2"/>
  <c r="Z54" i="2" s="1"/>
  <c r="X54" i="2" a="1"/>
  <c r="X54" i="2" s="1"/>
  <c r="X188" i="2" a="1"/>
  <c r="X188" i="2" s="1"/>
  <c r="Y188" i="2"/>
  <c r="Z188" i="2" s="1"/>
  <c r="AE141" i="2"/>
  <c r="AD217" i="2"/>
  <c r="AE248" i="2"/>
  <c r="AE294" i="2"/>
  <c r="AF294" i="2" s="1"/>
  <c r="AE326" i="2"/>
  <c r="AF326" i="2" s="1"/>
  <c r="AD508" i="2"/>
  <c r="AF508" i="2" s="1"/>
  <c r="AE433" i="2"/>
  <c r="AE420" i="2"/>
  <c r="AF420" i="2" s="1"/>
  <c r="AE491" i="2"/>
  <c r="AF491" i="2" s="1"/>
  <c r="AE528" i="2"/>
  <c r="AE536" i="2"/>
  <c r="AF536" i="2" s="1"/>
  <c r="AD522" i="2"/>
  <c r="AE574" i="2"/>
  <c r="AE555" i="2"/>
  <c r="AF555" i="2" s="1"/>
  <c r="AE575" i="2"/>
  <c r="AD574" i="2"/>
  <c r="AE558" i="2"/>
  <c r="AF558" i="2" s="1"/>
  <c r="AE580" i="2"/>
  <c r="AF580" i="2" s="1"/>
  <c r="AD675" i="2"/>
  <c r="AF675" i="2" s="1"/>
  <c r="AD628" i="2"/>
  <c r="AF628" i="2" s="1"/>
  <c r="AD569" i="2"/>
  <c r="AF569" i="2" s="1"/>
  <c r="AD601" i="2"/>
  <c r="AF601" i="2" s="1"/>
  <c r="AD606" i="2"/>
  <c r="AF606" i="2" s="1"/>
  <c r="AD622" i="2"/>
  <c r="AF622" i="2" s="1"/>
  <c r="AD684" i="2"/>
  <c r="AD674" i="2"/>
  <c r="AF674" i="2" s="1"/>
  <c r="AE704" i="2"/>
  <c r="AE743" i="2"/>
  <c r="AD767" i="2"/>
  <c r="AF767" i="2" s="1"/>
  <c r="V171" i="2"/>
  <c r="W171" i="2" s="1"/>
  <c r="V121" i="2"/>
  <c r="W121" i="2" s="1"/>
  <c r="V163" i="2"/>
  <c r="W163" i="2" s="1"/>
  <c r="Y95" i="2"/>
  <c r="Z95" i="2" s="1"/>
  <c r="X95" i="2" a="1"/>
  <c r="X95" i="2" s="1"/>
  <c r="V71" i="2"/>
  <c r="W71" i="2" s="1"/>
  <c r="V187" i="2"/>
  <c r="W187" i="2" s="1"/>
  <c r="Y122" i="2"/>
  <c r="Z122" i="2" s="1"/>
  <c r="X122" i="2" a="1"/>
  <c r="X122" i="2" s="1"/>
  <c r="Y83" i="2"/>
  <c r="Z83" i="2" s="1"/>
  <c r="X83" i="2" a="1"/>
  <c r="X83" i="2" s="1"/>
  <c r="Y58" i="2"/>
  <c r="Z58" i="2" s="1"/>
  <c r="X58" i="2" a="1"/>
  <c r="X58" i="2" s="1"/>
  <c r="V67" i="2"/>
  <c r="W67" i="2" s="1"/>
  <c r="Y759" i="2"/>
  <c r="Z759" i="2" s="1"/>
  <c r="Y762" i="2"/>
  <c r="Z762" i="2" s="1"/>
  <c r="X762" i="2" a="1"/>
  <c r="X762" i="2" s="1"/>
  <c r="X365" i="2" a="1"/>
  <c r="X365" i="2" s="1"/>
  <c r="Y365" i="2"/>
  <c r="Z365" i="2" s="1"/>
  <c r="X312" i="2" a="1"/>
  <c r="X312" i="2" s="1"/>
  <c r="X253" i="2" a="1"/>
  <c r="X253" i="2" s="1"/>
  <c r="Y253" i="2"/>
  <c r="Z253" i="2" s="1"/>
  <c r="X101" i="2" a="1"/>
  <c r="X101" i="2" s="1"/>
  <c r="Y101" i="2"/>
  <c r="Z101" i="2" s="1"/>
  <c r="X401" i="2" a="1"/>
  <c r="X401" i="2" s="1"/>
  <c r="Y401" i="2"/>
  <c r="Z401" i="2" s="1"/>
  <c r="Y269" i="2"/>
  <c r="Z269" i="2" s="1"/>
  <c r="X269" i="2" a="1"/>
  <c r="X269" i="2" s="1"/>
  <c r="X232" i="2" a="1"/>
  <c r="X232" i="2" s="1"/>
  <c r="Y232" i="2"/>
  <c r="Z232" i="2" s="1"/>
  <c r="AD203" i="2"/>
  <c r="AF203" i="2" s="1"/>
  <c r="AE269" i="2"/>
  <c r="AF269" i="2" s="1"/>
  <c r="AE220" i="2"/>
  <c r="AF220" i="2" s="1"/>
  <c r="AD320" i="2"/>
  <c r="AF320" i="2" s="1"/>
  <c r="AE330" i="2"/>
  <c r="AF330" i="2" s="1"/>
  <c r="AD506" i="2"/>
  <c r="AF506" i="2" s="1"/>
  <c r="AE377" i="2"/>
  <c r="AE409" i="2"/>
  <c r="AD362" i="2"/>
  <c r="AF362" i="2" s="1"/>
  <c r="AD391" i="2"/>
  <c r="AD442" i="2"/>
  <c r="AF442" i="2" s="1"/>
  <c r="AD474" i="2"/>
  <c r="AF474" i="2" s="1"/>
  <c r="AE475" i="2"/>
  <c r="AF475" i="2" s="1"/>
  <c r="AD452" i="2"/>
  <c r="AE452" i="2"/>
  <c r="AD507" i="2"/>
  <c r="AF507" i="2" s="1"/>
  <c r="AD557" i="2"/>
  <c r="AE557" i="2"/>
  <c r="AD575" i="2"/>
  <c r="AF575" i="2" s="1"/>
  <c r="AE562" i="2"/>
  <c r="AD539" i="2"/>
  <c r="AD666" i="2"/>
  <c r="AF666" i="2" s="1"/>
  <c r="AE689" i="2"/>
  <c r="AD704" i="2"/>
  <c r="AE728" i="2"/>
  <c r="AD726" i="2"/>
  <c r="X89" i="2" a="1"/>
  <c r="X89" i="2" s="1"/>
  <c r="Y89" i="2"/>
  <c r="Z89" i="2" s="1"/>
  <c r="X57" i="2" a="1"/>
  <c r="X57" i="2" s="1"/>
  <c r="Y57" i="2"/>
  <c r="Z57" i="2" s="1"/>
  <c r="X225" i="2" a="1"/>
  <c r="X225" i="2" s="1"/>
  <c r="Y225" i="2"/>
  <c r="Z225" i="2" s="1"/>
  <c r="AE86" i="2"/>
  <c r="AF86" i="2" s="1"/>
  <c r="X201" i="2" a="1"/>
  <c r="X201" i="2" s="1"/>
  <c r="Y201" i="2"/>
  <c r="Z201" i="2" s="1"/>
  <c r="X149" i="2" a="1"/>
  <c r="X149" i="2" s="1"/>
  <c r="Y149" i="2"/>
  <c r="Z149" i="2" s="1"/>
  <c r="Y115" i="2"/>
  <c r="Z115" i="2" s="1"/>
  <c r="X115" i="2" a="1"/>
  <c r="X115" i="2" s="1"/>
  <c r="AE42" i="2"/>
  <c r="X73" i="2" a="1"/>
  <c r="X73" i="2" s="1"/>
  <c r="Y73" i="2"/>
  <c r="Z73" i="2" s="1"/>
  <c r="X117" i="2" a="1"/>
  <c r="X117" i="2" s="1"/>
  <c r="Y117" i="2"/>
  <c r="Z117" i="2" s="1"/>
  <c r="Y14" i="2"/>
  <c r="Z14" i="2" s="1"/>
  <c r="X14" i="2" a="1"/>
  <c r="X14" i="2" s="1"/>
  <c r="X132" i="2" a="1"/>
  <c r="X132" i="2" s="1"/>
  <c r="Y132" i="2"/>
  <c r="Z132" i="2" s="1"/>
  <c r="Y4" i="2"/>
  <c r="Z4" i="2" s="1"/>
  <c r="X4" i="2" a="1"/>
  <c r="X4" i="2" s="1"/>
  <c r="X644" i="2" a="1"/>
  <c r="X644" i="2" s="1"/>
  <c r="Y644" i="2"/>
  <c r="Z644" i="2" s="1"/>
  <c r="Y507" i="2"/>
  <c r="Z507" i="2" s="1"/>
  <c r="X507" i="2" a="1"/>
  <c r="X507" i="2" s="1"/>
  <c r="AE101" i="2"/>
  <c r="AE217" i="2"/>
  <c r="X769" i="2" a="1"/>
  <c r="X769" i="2" s="1"/>
  <c r="Y769" i="2"/>
  <c r="Z769" i="2" s="1"/>
  <c r="X724" i="2" a="1"/>
  <c r="X724" i="2" s="1"/>
  <c r="Y724" i="2"/>
  <c r="Z724" i="2" s="1"/>
  <c r="X761" i="2" a="1"/>
  <c r="X761" i="2" s="1"/>
  <c r="Y761" i="2"/>
  <c r="Z761" i="2" s="1"/>
  <c r="X675" i="2" a="1"/>
  <c r="X675" i="2" s="1"/>
  <c r="Y675" i="2"/>
  <c r="Z675" i="2" s="1"/>
  <c r="Y586" i="2"/>
  <c r="Z586" i="2" s="1"/>
  <c r="X586" i="2" a="1"/>
  <c r="X586" i="2" s="1"/>
  <c r="X582" i="2" a="1"/>
  <c r="X582" i="2" s="1"/>
  <c r="Y582" i="2"/>
  <c r="Z582" i="2" s="1"/>
  <c r="X500" i="2" a="1"/>
  <c r="X500" i="2" s="1"/>
  <c r="Y500" i="2"/>
  <c r="Z500" i="2" s="1"/>
  <c r="Y495" i="2"/>
  <c r="Z495" i="2" s="1"/>
  <c r="X495" i="2" a="1"/>
  <c r="X495" i="2" s="1"/>
  <c r="X434" i="2" a="1"/>
  <c r="X434" i="2" s="1"/>
  <c r="Y434" i="2"/>
  <c r="Z434" i="2" s="1"/>
  <c r="X385" i="2" a="1"/>
  <c r="X385" i="2" s="1"/>
  <c r="Y385" i="2"/>
  <c r="Z385" i="2" s="1"/>
  <c r="Y360" i="2"/>
  <c r="Z360" i="2" s="1"/>
  <c r="X360" i="2" a="1"/>
  <c r="X360" i="2" s="1"/>
  <c r="Y347" i="2"/>
  <c r="Z347" i="2" s="1"/>
  <c r="X347" i="2" a="1"/>
  <c r="X347" i="2" s="1"/>
  <c r="X403" i="2" a="1"/>
  <c r="X403" i="2" s="1"/>
  <c r="Y403" i="2"/>
  <c r="Z403" i="2" s="1"/>
  <c r="X348" i="2" a="1"/>
  <c r="X348" i="2" s="1"/>
  <c r="Y348" i="2"/>
  <c r="Z348" i="2" s="1"/>
  <c r="X252" i="2" a="1"/>
  <c r="X252" i="2" s="1"/>
  <c r="Y252" i="2"/>
  <c r="Z252" i="2" s="1"/>
  <c r="X334" i="2" a="1"/>
  <c r="X334" i="2" s="1"/>
  <c r="Y334" i="2"/>
  <c r="Z334" i="2" s="1"/>
  <c r="X309" i="2" a="1"/>
  <c r="X309" i="2" s="1"/>
  <c r="Y230" i="2"/>
  <c r="Z230" i="2" s="1"/>
  <c r="X230" i="2" a="1"/>
  <c r="X230" i="2" s="1"/>
  <c r="X210" i="2" a="1"/>
  <c r="X210" i="2" s="1"/>
  <c r="Y210" i="2"/>
  <c r="Z210" i="2" s="1"/>
  <c r="Y301" i="2"/>
  <c r="Z301" i="2" s="1"/>
  <c r="X301" i="2" a="1"/>
  <c r="X301" i="2" s="1"/>
  <c r="Y274" i="2"/>
  <c r="Z274" i="2" s="1"/>
  <c r="X274" i="2" a="1"/>
  <c r="X274" i="2" s="1"/>
  <c r="Y165" i="2"/>
  <c r="Z165" i="2" s="1"/>
  <c r="X165" i="2" a="1"/>
  <c r="X165" i="2" s="1"/>
  <c r="X172" i="2" a="1"/>
  <c r="X172" i="2" s="1"/>
  <c r="Y172" i="2"/>
  <c r="Z172" i="2" s="1"/>
  <c r="AD27" i="2"/>
  <c r="AF27" i="2" s="1"/>
  <c r="AD172" i="2"/>
  <c r="AD252" i="2"/>
  <c r="AF252" i="2" s="1"/>
  <c r="V771" i="2"/>
  <c r="W771" i="2" s="1"/>
  <c r="V755" i="2"/>
  <c r="W755" i="2" s="1"/>
  <c r="X720" i="2" a="1"/>
  <c r="X720" i="2" s="1"/>
  <c r="Y720" i="2"/>
  <c r="Z720" i="2" s="1"/>
  <c r="X729" i="2" a="1"/>
  <c r="X729" i="2" s="1"/>
  <c r="Y729" i="2"/>
  <c r="Z729" i="2" s="1"/>
  <c r="V730" i="2"/>
  <c r="W730" i="2" s="1"/>
  <c r="Y696" i="2"/>
  <c r="Z696" i="2" s="1"/>
  <c r="X696" i="2" a="1"/>
  <c r="X696" i="2" s="1"/>
  <c r="Y671" i="2"/>
  <c r="Z671" i="2" s="1"/>
  <c r="X671" i="2" a="1"/>
  <c r="X671" i="2" s="1"/>
  <c r="Y636" i="2"/>
  <c r="Z636" i="2" s="1"/>
  <c r="X636" i="2" a="1"/>
  <c r="X636" i="2" s="1"/>
  <c r="V714" i="2"/>
  <c r="W714" i="2" s="1"/>
  <c r="Y656" i="2"/>
  <c r="Z656" i="2" s="1"/>
  <c r="X656" i="2" a="1"/>
  <c r="X656" i="2" s="1"/>
  <c r="V692" i="2"/>
  <c r="W692" i="2" s="1"/>
  <c r="Y599" i="2"/>
  <c r="Z599" i="2" s="1"/>
  <c r="X599" i="2" a="1"/>
  <c r="X599" i="2" s="1"/>
  <c r="Y647" i="2"/>
  <c r="Z647" i="2" s="1"/>
  <c r="X647" i="2" a="1"/>
  <c r="X647" i="2" s="1"/>
  <c r="Y591" i="2"/>
  <c r="Z591" i="2" s="1"/>
  <c r="X591" i="2" a="1"/>
  <c r="X591" i="2" s="1"/>
  <c r="V593" i="2"/>
  <c r="W593" i="2" s="1"/>
  <c r="Y560" i="2"/>
  <c r="Z560" i="2" s="1"/>
  <c r="X560" i="2" a="1"/>
  <c r="X560" i="2" s="1"/>
  <c r="V538" i="2"/>
  <c r="W538" i="2" s="1"/>
  <c r="V554" i="2"/>
  <c r="W554" i="2" s="1"/>
  <c r="V584" i="2"/>
  <c r="W584" i="2" s="1"/>
  <c r="Y498" i="2"/>
  <c r="Z498" i="2" s="1"/>
  <c r="X498" i="2" a="1"/>
  <c r="X498" i="2" s="1"/>
  <c r="Y497" i="2"/>
  <c r="Z497" i="2" s="1"/>
  <c r="X497" i="2" a="1"/>
  <c r="X497" i="2" s="1"/>
  <c r="V550" i="2"/>
  <c r="W550" i="2" s="1"/>
  <c r="Y516" i="2"/>
  <c r="Z516" i="2" s="1"/>
  <c r="X516" i="2" a="1"/>
  <c r="X516" i="2" s="1"/>
  <c r="X508" i="2" a="1"/>
  <c r="X508" i="2" s="1"/>
  <c r="Y508" i="2"/>
  <c r="Z508" i="2" s="1"/>
  <c r="V515" i="2"/>
  <c r="W515" i="2" s="1"/>
  <c r="Y466" i="2"/>
  <c r="Z466" i="2" s="1"/>
  <c r="X466" i="2" a="1"/>
  <c r="X466" i="2" s="1"/>
  <c r="V477" i="2"/>
  <c r="W477" i="2" s="1"/>
  <c r="V419" i="2"/>
  <c r="W419" i="2" s="1"/>
  <c r="V354" i="2"/>
  <c r="W354" i="2" s="1"/>
  <c r="V413" i="2"/>
  <c r="W413" i="2" s="1"/>
  <c r="V328" i="2"/>
  <c r="W328" i="2" s="1"/>
  <c r="V296" i="2"/>
  <c r="W296" i="2" s="1"/>
  <c r="Y382" i="2"/>
  <c r="Z382" i="2" s="1"/>
  <c r="X382" i="2" a="1"/>
  <c r="X382" i="2" s="1"/>
  <c r="Y321" i="2"/>
  <c r="Z321" i="2" s="1"/>
  <c r="X321" i="2" a="1"/>
  <c r="X321" i="2" s="1"/>
  <c r="V288" i="2"/>
  <c r="W288" i="2" s="1"/>
  <c r="V392" i="2"/>
  <c r="W392" i="2" s="1"/>
  <c r="V322" i="2"/>
  <c r="W322" i="2" s="1"/>
  <c r="X244" i="2" a="1"/>
  <c r="X244" i="2" s="1"/>
  <c r="Y244" i="2"/>
  <c r="Z244" i="2" s="1"/>
  <c r="V227" i="2"/>
  <c r="W227" i="2" s="1"/>
  <c r="V351" i="2"/>
  <c r="W351" i="2" s="1"/>
  <c r="V266" i="2"/>
  <c r="W266" i="2" s="1"/>
  <c r="Y337" i="2"/>
  <c r="Z337" i="2" s="1"/>
  <c r="X337" i="2" a="1"/>
  <c r="X337" i="2" s="1"/>
  <c r="V205" i="2"/>
  <c r="W205" i="2" s="1"/>
  <c r="V221" i="2"/>
  <c r="W221" i="2" s="1"/>
  <c r="V219" i="2"/>
  <c r="W219" i="2" s="1"/>
  <c r="V216" i="2"/>
  <c r="W216" i="2" s="1"/>
  <c r="V185" i="2"/>
  <c r="W185" i="2" s="1"/>
  <c r="AD165" i="2"/>
  <c r="Y142" i="2"/>
  <c r="Z142" i="2" s="1"/>
  <c r="X142" i="2" a="1"/>
  <c r="X142" i="2" s="1"/>
  <c r="V133" i="2"/>
  <c r="W133" i="2" s="1"/>
  <c r="V51" i="2"/>
  <c r="W51" i="2" s="1"/>
  <c r="AE173" i="2"/>
  <c r="AE78" i="2"/>
  <c r="AF78" i="2" s="1"/>
  <c r="AE59" i="2"/>
  <c r="AF59" i="2" s="1"/>
  <c r="AD272" i="2"/>
  <c r="AF272" i="2" s="1"/>
  <c r="AD253" i="2"/>
  <c r="AF253" i="2" s="1"/>
  <c r="AE246" i="2"/>
  <c r="AF246" i="2" s="1"/>
  <c r="AE256" i="2"/>
  <c r="AF256" i="2" s="1"/>
  <c r="AE272" i="2"/>
  <c r="AE337" i="2"/>
  <c r="AF337" i="2" s="1"/>
  <c r="AE334" i="2"/>
  <c r="AD469" i="2"/>
  <c r="AF469" i="2" s="1"/>
  <c r="AE366" i="2"/>
  <c r="AE300" i="2"/>
  <c r="AD282" i="2"/>
  <c r="AF282" i="2" s="1"/>
  <c r="AE391" i="2"/>
  <c r="AD451" i="2"/>
  <c r="AF451" i="2" s="1"/>
  <c r="AE442" i="2"/>
  <c r="AD505" i="2"/>
  <c r="AD500" i="2"/>
  <c r="AF500" i="2" s="1"/>
  <c r="AD568" i="2"/>
  <c r="AF568" i="2" s="1"/>
  <c r="AD497" i="2"/>
  <c r="AE560" i="2"/>
  <c r="AF560" i="2" s="1"/>
  <c r="AE614" i="2"/>
  <c r="AD604" i="2"/>
  <c r="AD578" i="2"/>
  <c r="AD644" i="2"/>
  <c r="AE658" i="2"/>
  <c r="AD649" i="2"/>
  <c r="AF649" i="2" s="1"/>
  <c r="AE642" i="2"/>
  <c r="AF642" i="2" s="1"/>
  <c r="AD689" i="2"/>
  <c r="AE679" i="2"/>
  <c r="AD732" i="2"/>
  <c r="AF732" i="2" s="1"/>
  <c r="AE732" i="2"/>
  <c r="AD761" i="2"/>
  <c r="AF761" i="2" s="1"/>
  <c r="AD117" i="2"/>
  <c r="AF117" i="2" s="1"/>
  <c r="AE142" i="2"/>
  <c r="AF142" i="2" s="1"/>
  <c r="Y70" i="2"/>
  <c r="Z70" i="2" s="1"/>
  <c r="X70" i="2" a="1"/>
  <c r="X70" i="2" s="1"/>
  <c r="V39" i="2"/>
  <c r="W39" i="2" s="1"/>
  <c r="AE70" i="2"/>
  <c r="AF70" i="2" s="1"/>
  <c r="X112" i="2" a="1"/>
  <c r="X112" i="2" s="1"/>
  <c r="Y112" i="2"/>
  <c r="Z112" i="2" s="1"/>
  <c r="V53" i="2"/>
  <c r="W53" i="2" s="1"/>
  <c r="X19" i="2" a="1"/>
  <c r="X19" i="2" s="1"/>
  <c r="Y19" i="2"/>
  <c r="Z19" i="2" s="1"/>
  <c r="X15" i="2" a="1"/>
  <c r="X15" i="2" s="1"/>
  <c r="Y15" i="2"/>
  <c r="Z15" i="2" s="1"/>
  <c r="Y23" i="2"/>
  <c r="Z23" i="2" s="1"/>
  <c r="X23" i="2" a="1"/>
  <c r="X23" i="2" s="1"/>
  <c r="Y690" i="2"/>
  <c r="Z690" i="2" s="1"/>
  <c r="X690" i="2" a="1"/>
  <c r="X690" i="2" s="1"/>
  <c r="Y611" i="2"/>
  <c r="Z611" i="2" s="1"/>
  <c r="X611" i="2" a="1"/>
  <c r="X611" i="2" s="1"/>
  <c r="Y547" i="2"/>
  <c r="Z547" i="2" s="1"/>
  <c r="X547" i="2" a="1"/>
  <c r="X547" i="2" s="1"/>
  <c r="Y525" i="2"/>
  <c r="Z525" i="2" s="1"/>
  <c r="X525" i="2" a="1"/>
  <c r="X525" i="2" s="1"/>
  <c r="X330" i="2" a="1"/>
  <c r="X330" i="2" s="1"/>
  <c r="Y330" i="2"/>
  <c r="Z330" i="2" s="1"/>
  <c r="X344" i="2" a="1"/>
  <c r="X344" i="2" s="1"/>
  <c r="Y344" i="2"/>
  <c r="Z344" i="2" s="1"/>
  <c r="Y239" i="2"/>
  <c r="Z239" i="2" s="1"/>
  <c r="X239" i="2" a="1"/>
  <c r="X239" i="2" s="1"/>
  <c r="X220" i="2" a="1"/>
  <c r="X220" i="2" s="1"/>
  <c r="Y220" i="2"/>
  <c r="Z220" i="2" s="1"/>
  <c r="Y258" i="2"/>
  <c r="Z258" i="2" s="1"/>
  <c r="X258" i="2" a="1"/>
  <c r="X258" i="2" s="1"/>
  <c r="Y154" i="2"/>
  <c r="Z154" i="2" s="1"/>
  <c r="X154" i="2" a="1"/>
  <c r="X154" i="2" s="1"/>
  <c r="X749" i="2" a="1"/>
  <c r="X749" i="2" s="1"/>
  <c r="Y749" i="2"/>
  <c r="Z749" i="2" s="1"/>
  <c r="Y770" i="2"/>
  <c r="Z770" i="2" s="1"/>
  <c r="X770" i="2" a="1"/>
  <c r="X770" i="2" s="1"/>
  <c r="Y733" i="2"/>
  <c r="Z733" i="2" s="1"/>
  <c r="X733" i="2" a="1"/>
  <c r="X733" i="2" s="1"/>
  <c r="X669" i="2" a="1"/>
  <c r="X669" i="2" s="1"/>
  <c r="Y669" i="2"/>
  <c r="Z669" i="2" s="1"/>
  <c r="X617" i="2" a="1"/>
  <c r="X617" i="2" s="1"/>
  <c r="Y617" i="2"/>
  <c r="Z617" i="2" s="1"/>
  <c r="Y606" i="2"/>
  <c r="Z606" i="2" s="1"/>
  <c r="X606" i="2" a="1"/>
  <c r="X606" i="2" s="1"/>
  <c r="X601" i="2" a="1"/>
  <c r="X601" i="2" s="1"/>
  <c r="Y601" i="2"/>
  <c r="Z601" i="2" s="1"/>
  <c r="X610" i="2" a="1"/>
  <c r="X610" i="2" s="1"/>
  <c r="Y610" i="2"/>
  <c r="Z610" i="2" s="1"/>
  <c r="X628" i="2" a="1"/>
  <c r="X628" i="2" s="1"/>
  <c r="Y628" i="2"/>
  <c r="Z628" i="2" s="1"/>
  <c r="X592" i="2" a="1"/>
  <c r="X592" i="2" s="1"/>
  <c r="Y592" i="2"/>
  <c r="Z592" i="2" s="1"/>
  <c r="X572" i="2" a="1"/>
  <c r="X572" i="2" s="1"/>
  <c r="Y572" i="2"/>
  <c r="Z572" i="2" s="1"/>
  <c r="Y509" i="2"/>
  <c r="Z509" i="2" s="1"/>
  <c r="X509" i="2" a="1"/>
  <c r="X509" i="2" s="1"/>
  <c r="Y530" i="2"/>
  <c r="Z530" i="2" s="1"/>
  <c r="X530" i="2" a="1"/>
  <c r="X530" i="2" s="1"/>
  <c r="Y460" i="2"/>
  <c r="Z460" i="2" s="1"/>
  <c r="X460" i="2" a="1"/>
  <c r="X460" i="2" s="1"/>
  <c r="Y474" i="2"/>
  <c r="Z474" i="2" s="1"/>
  <c r="X474" i="2" a="1"/>
  <c r="X474" i="2" s="1"/>
  <c r="X446" i="2" a="1"/>
  <c r="X446" i="2" s="1"/>
  <c r="Y446" i="2"/>
  <c r="Z446" i="2" s="1"/>
  <c r="X443" i="2" a="1"/>
  <c r="X443" i="2" s="1"/>
  <c r="Y471" i="2"/>
  <c r="Z471" i="2" s="1"/>
  <c r="X471" i="2" a="1"/>
  <c r="X471" i="2" s="1"/>
  <c r="X423" i="2" a="1"/>
  <c r="X423" i="2" s="1"/>
  <c r="Y423" i="2"/>
  <c r="Z423" i="2" s="1"/>
  <c r="X357" i="2" a="1"/>
  <c r="X357" i="2" s="1"/>
  <c r="Y357" i="2"/>
  <c r="Z357" i="2" s="1"/>
  <c r="Y268" i="2"/>
  <c r="Z268" i="2" s="1"/>
  <c r="X268" i="2" a="1"/>
  <c r="X268" i="2" s="1"/>
  <c r="X49" i="2" a="1"/>
  <c r="X49" i="2" s="1"/>
  <c r="Y49" i="2"/>
  <c r="Z49" i="2" s="1"/>
  <c r="Y31" i="2"/>
  <c r="Z31" i="2" s="1"/>
  <c r="X31" i="2" a="1"/>
  <c r="X31" i="2" s="1"/>
  <c r="Y119" i="2"/>
  <c r="Z119" i="2" s="1"/>
  <c r="X119" i="2" a="1"/>
  <c r="X119" i="2" s="1"/>
  <c r="Y87" i="2"/>
  <c r="Z87" i="2" s="1"/>
  <c r="X87" i="2" a="1"/>
  <c r="X87" i="2" s="1"/>
  <c r="X37" i="2" a="1"/>
  <c r="X37" i="2" s="1"/>
  <c r="Y37" i="2"/>
  <c r="Z37" i="2" s="1"/>
  <c r="Y27" i="2"/>
  <c r="Z27" i="2" s="1"/>
  <c r="X27" i="2" a="1"/>
  <c r="X27" i="2" s="1"/>
  <c r="AE49" i="2"/>
  <c r="AD50" i="2"/>
  <c r="AF50" i="2" s="1"/>
  <c r="AE87" i="2"/>
  <c r="AF87" i="2" s="1"/>
  <c r="AE119" i="2"/>
  <c r="AF119" i="2" s="1"/>
  <c r="AE202" i="2"/>
  <c r="AD268" i="2"/>
  <c r="AF268" i="2" s="1"/>
  <c r="Y766" i="2"/>
  <c r="Z766" i="2" s="1"/>
  <c r="X766" i="2" a="1"/>
  <c r="X766" i="2" s="1"/>
  <c r="Y716" i="2"/>
  <c r="Z716" i="2" s="1"/>
  <c r="X716" i="2" a="1"/>
  <c r="X716" i="2" s="1"/>
  <c r="X742" i="2" a="1"/>
  <c r="X742" i="2" s="1"/>
  <c r="Y742" i="2"/>
  <c r="Z742" i="2" s="1"/>
  <c r="V753" i="2"/>
  <c r="W753" i="2" s="1"/>
  <c r="X722" i="2" a="1"/>
  <c r="X722" i="2" s="1"/>
  <c r="Y722" i="2"/>
  <c r="Z722" i="2" s="1"/>
  <c r="V712" i="2"/>
  <c r="W712" i="2" s="1"/>
  <c r="Y695" i="2"/>
  <c r="Z695" i="2" s="1"/>
  <c r="X695" i="2" a="1"/>
  <c r="X695" i="2" s="1"/>
  <c r="V710" i="2"/>
  <c r="W710" i="2" s="1"/>
  <c r="Y685" i="2"/>
  <c r="Z685" i="2" s="1"/>
  <c r="X685" i="2" a="1"/>
  <c r="X685" i="2" s="1"/>
  <c r="V687" i="2"/>
  <c r="W687" i="2" s="1"/>
  <c r="V655" i="2"/>
  <c r="W655" i="2" s="1"/>
  <c r="Y626" i="2"/>
  <c r="Z626" i="2" s="1"/>
  <c r="X626" i="2" a="1"/>
  <c r="X626" i="2" s="1"/>
  <c r="Y587" i="2"/>
  <c r="Z587" i="2" s="1"/>
  <c r="X587" i="2" a="1"/>
  <c r="X587" i="2" s="1"/>
  <c r="X577" i="2" a="1"/>
  <c r="X577" i="2" s="1"/>
  <c r="Y577" i="2"/>
  <c r="Z577" i="2" s="1"/>
  <c r="Y595" i="2"/>
  <c r="Z595" i="2" s="1"/>
  <c r="X595" i="2" a="1"/>
  <c r="X595" i="2" s="1"/>
  <c r="V613" i="2"/>
  <c r="W613" i="2" s="1"/>
  <c r="V576" i="2"/>
  <c r="W576" i="2" s="1"/>
  <c r="X493" i="2" a="1"/>
  <c r="X493" i="2" s="1"/>
  <c r="Y493" i="2"/>
  <c r="Z493" i="2" s="1"/>
  <c r="V570" i="2"/>
  <c r="W570" i="2" s="1"/>
  <c r="X490" i="2" a="1"/>
  <c r="X490" i="2" s="1"/>
  <c r="Y490" i="2"/>
  <c r="Z490" i="2" s="1"/>
  <c r="V473" i="2"/>
  <c r="W473" i="2" s="1"/>
  <c r="Y447" i="2"/>
  <c r="Z447" i="2" s="1"/>
  <c r="X447" i="2" a="1"/>
  <c r="X447" i="2" s="1"/>
  <c r="X458" i="2" a="1"/>
  <c r="X458" i="2" s="1"/>
  <c r="Y458" i="2"/>
  <c r="Z458" i="2" s="1"/>
  <c r="X430" i="2" a="1"/>
  <c r="X430" i="2" s="1"/>
  <c r="Y430" i="2"/>
  <c r="Z430" i="2" s="1"/>
  <c r="Y463" i="2"/>
  <c r="Z463" i="2" s="1"/>
  <c r="Y478" i="2"/>
  <c r="Z478" i="2" s="1"/>
  <c r="X478" i="2" a="1"/>
  <c r="X478" i="2" s="1"/>
  <c r="Y428" i="2"/>
  <c r="Z428" i="2" s="1"/>
  <c r="X428" i="2" a="1"/>
  <c r="X428" i="2" s="1"/>
  <c r="Y394" i="2"/>
  <c r="Z394" i="2" s="1"/>
  <c r="X394" i="2" a="1"/>
  <c r="X394" i="2" s="1"/>
  <c r="V405" i="2"/>
  <c r="W405" i="2" s="1"/>
  <c r="V389" i="2"/>
  <c r="W389" i="2" s="1"/>
  <c r="X424" i="2" a="1"/>
  <c r="X424" i="2" s="1"/>
  <c r="Y424" i="2"/>
  <c r="Z424" i="2" s="1"/>
  <c r="X355" i="2" a="1"/>
  <c r="X355" i="2" s="1"/>
  <c r="Y355" i="2"/>
  <c r="Z355" i="2" s="1"/>
  <c r="V363" i="2"/>
  <c r="W363" i="2" s="1"/>
  <c r="Y305" i="2"/>
  <c r="Z305" i="2" s="1"/>
  <c r="X305" i="2" a="1"/>
  <c r="X305" i="2" s="1"/>
  <c r="Y353" i="2"/>
  <c r="Z353" i="2" s="1"/>
  <c r="X353" i="2" a="1"/>
  <c r="X353" i="2" s="1"/>
  <c r="Y333" i="2"/>
  <c r="Z333" i="2" s="1"/>
  <c r="X333" i="2" a="1"/>
  <c r="X333" i="2" s="1"/>
  <c r="V338" i="2"/>
  <c r="W338" i="2" s="1"/>
  <c r="V264" i="2"/>
  <c r="W264" i="2" s="1"/>
  <c r="V318" i="2"/>
  <c r="W318" i="2" s="1"/>
  <c r="V293" i="2"/>
  <c r="W293" i="2" s="1"/>
  <c r="Y254" i="2"/>
  <c r="Z254" i="2" s="1"/>
  <c r="X254" i="2" a="1"/>
  <c r="X254" i="2" s="1"/>
  <c r="V298" i="2"/>
  <c r="W298" i="2" s="1"/>
  <c r="V265" i="2"/>
  <c r="W265" i="2" s="1"/>
  <c r="V325" i="2"/>
  <c r="W325" i="2" s="1"/>
  <c r="V231" i="2"/>
  <c r="W231" i="2" s="1"/>
  <c r="V249" i="2"/>
  <c r="W249" i="2" s="1"/>
  <c r="V263" i="2"/>
  <c r="W263" i="2" s="1"/>
  <c r="Y106" i="2"/>
  <c r="Z106" i="2" s="1"/>
  <c r="X106" i="2" a="1"/>
  <c r="X106" i="2" s="1"/>
  <c r="V75" i="2"/>
  <c r="W75" i="2" s="1"/>
  <c r="V145" i="2"/>
  <c r="W145" i="2" s="1"/>
  <c r="AD31" i="2"/>
  <c r="AE31" i="2"/>
  <c r="AD173" i="2"/>
  <c r="AE189" i="2"/>
  <c r="AF189" i="2" s="1"/>
  <c r="AD202" i="2"/>
  <c r="AD159" i="2"/>
  <c r="AF159" i="2" s="1"/>
  <c r="AD191" i="2"/>
  <c r="AF191" i="2" s="1"/>
  <c r="AE172" i="2"/>
  <c r="AE204" i="2"/>
  <c r="AE257" i="2"/>
  <c r="AF257" i="2" s="1"/>
  <c r="AE273" i="2"/>
  <c r="AF273" i="2" s="1"/>
  <c r="AD324" i="2"/>
  <c r="AD214" i="2"/>
  <c r="AF214" i="2" s="1"/>
  <c r="AD230" i="2"/>
  <c r="AF230" i="2" s="1"/>
  <c r="AE258" i="2"/>
  <c r="AF258" i="2" s="1"/>
  <c r="AE274" i="2"/>
  <c r="AF274" i="2" s="1"/>
  <c r="AE285" i="2"/>
  <c r="AE347" i="2"/>
  <c r="AF347" i="2" s="1"/>
  <c r="AD336" i="2"/>
  <c r="AF336" i="2" s="1"/>
  <c r="AE306" i="2"/>
  <c r="AF306" i="2" s="1"/>
  <c r="AD377" i="2"/>
  <c r="AD385" i="2"/>
  <c r="AD277" i="2"/>
  <c r="AF277" i="2" s="1"/>
  <c r="AD309" i="2"/>
  <c r="AD372" i="2"/>
  <c r="AF372" i="2" s="1"/>
  <c r="AE385" i="2"/>
  <c r="AD366" i="2"/>
  <c r="AD382" i="2"/>
  <c r="AD379" i="2"/>
  <c r="AD423" i="2"/>
  <c r="AD446" i="2"/>
  <c r="AD462" i="2"/>
  <c r="AF462" i="2" s="1"/>
  <c r="AD478" i="2"/>
  <c r="AE446" i="2"/>
  <c r="AE478" i="2"/>
  <c r="AD516" i="2"/>
  <c r="AF516" i="2" s="1"/>
  <c r="AD424" i="2"/>
  <c r="AE497" i="2"/>
  <c r="AE539" i="2"/>
  <c r="AE460" i="2"/>
  <c r="AD498" i="2"/>
  <c r="AE547" i="2"/>
  <c r="AE505" i="2"/>
  <c r="AE578" i="2"/>
  <c r="AE498" i="2"/>
  <c r="AE577" i="2"/>
  <c r="AD572" i="2"/>
  <c r="AF572" i="2" s="1"/>
  <c r="AD528" i="2"/>
  <c r="AD586" i="2"/>
  <c r="AE591" i="2"/>
  <c r="AE586" i="2"/>
  <c r="AD591" i="2"/>
  <c r="AE683" i="2"/>
  <c r="AE724" i="2"/>
  <c r="AF724" i="2" s="1"/>
  <c r="AE754" i="2"/>
  <c r="AE763" i="2"/>
  <c r="AF763" i="2" s="1"/>
  <c r="AE769" i="2"/>
  <c r="AF769" i="2" s="1"/>
  <c r="AD754" i="2"/>
  <c r="AF754" i="2" s="1"/>
  <c r="AD770" i="2"/>
  <c r="AF770" i="2" s="1"/>
  <c r="Y114" i="2"/>
  <c r="Z114" i="2" s="1"/>
  <c r="X114" i="2" a="1"/>
  <c r="X114" i="2" s="1"/>
  <c r="AD193" i="2"/>
  <c r="AD141" i="2"/>
  <c r="AE54" i="2"/>
  <c r="AF54" i="2" s="1"/>
  <c r="AD37" i="2"/>
  <c r="AF37" i="2" s="1"/>
  <c r="AD197" i="2"/>
  <c r="V65" i="2"/>
  <c r="W65" i="2" s="1"/>
  <c r="V33" i="2"/>
  <c r="W33" i="2" s="1"/>
  <c r="Y157" i="2"/>
  <c r="Z157" i="2" s="1"/>
  <c r="X157" i="2" a="1"/>
  <c r="X157" i="2" s="1"/>
  <c r="AE10" i="2"/>
  <c r="V41" i="2"/>
  <c r="W41" i="2" s="1"/>
  <c r="Y663" i="2"/>
  <c r="Z663" i="2" s="1"/>
  <c r="X663" i="2" a="1"/>
  <c r="X663" i="2" s="1"/>
  <c r="Y623" i="2"/>
  <c r="Z623" i="2" s="1"/>
  <c r="X623" i="2" a="1"/>
  <c r="X623" i="2" s="1"/>
  <c r="Y451" i="2"/>
  <c r="Z451" i="2" s="1"/>
  <c r="X451" i="2" a="1"/>
  <c r="X451" i="2" s="1"/>
  <c r="X373" i="2" a="1"/>
  <c r="X373" i="2" s="1"/>
  <c r="Y373" i="2"/>
  <c r="Z373" i="2" s="1"/>
  <c r="Y376" i="2"/>
  <c r="Z376" i="2" s="1"/>
  <c r="X376" i="2" a="1"/>
  <c r="X376" i="2" s="1"/>
  <c r="Y765" i="2"/>
  <c r="Z765" i="2" s="1"/>
  <c r="Y653" i="2"/>
  <c r="Z653" i="2" s="1"/>
  <c r="X653" i="2" a="1"/>
  <c r="X653" i="2" s="1"/>
  <c r="Y555" i="2"/>
  <c r="Z555" i="2" s="1"/>
  <c r="X555" i="2" a="1"/>
  <c r="X555" i="2" s="1"/>
  <c r="Y491" i="2"/>
  <c r="Z491" i="2" s="1"/>
  <c r="X491" i="2" a="1"/>
  <c r="X491" i="2" s="1"/>
  <c r="Y489" i="2"/>
  <c r="Z489" i="2" s="1"/>
  <c r="X489" i="2" a="1"/>
  <c r="X489" i="2" s="1"/>
  <c r="Y470" i="2"/>
  <c r="Z470" i="2" s="1"/>
  <c r="X470" i="2" a="1"/>
  <c r="X470" i="2" s="1"/>
  <c r="X381" i="2" a="1"/>
  <c r="X381" i="2" s="1"/>
  <c r="Y381" i="2"/>
  <c r="Z381" i="2" s="1"/>
  <c r="X393" i="2" a="1"/>
  <c r="X393" i="2" s="1"/>
  <c r="Y393" i="2"/>
  <c r="Z393" i="2" s="1"/>
  <c r="X420" i="2" a="1"/>
  <c r="X420" i="2" s="1"/>
  <c r="Y420" i="2"/>
  <c r="Z420" i="2" s="1"/>
  <c r="X383" i="2" a="1"/>
  <c r="X383" i="2" s="1"/>
  <c r="Y383" i="2"/>
  <c r="Z383" i="2" s="1"/>
  <c r="X350" i="2" a="1"/>
  <c r="X350" i="2" s="1"/>
  <c r="Y350" i="2"/>
  <c r="Z350" i="2" s="1"/>
  <c r="Y387" i="2"/>
  <c r="Z387" i="2" s="1"/>
  <c r="Y169" i="2"/>
  <c r="Z169" i="2" s="1"/>
  <c r="X169" i="2" a="1"/>
  <c r="X169" i="2" s="1"/>
  <c r="X158" i="2" a="1"/>
  <c r="X158" i="2" s="1"/>
  <c r="Y158" i="2"/>
  <c r="Z158" i="2" s="1"/>
  <c r="X125" i="2" a="1"/>
  <c r="X125" i="2" s="1"/>
  <c r="Y125" i="2"/>
  <c r="Z125" i="2" s="1"/>
  <c r="Y209" i="2"/>
  <c r="Z209" i="2" s="1"/>
  <c r="X209" i="2" a="1"/>
  <c r="X209" i="2" s="1"/>
  <c r="Y131" i="2"/>
  <c r="Z131" i="2" s="1"/>
  <c r="X131" i="2" a="1"/>
  <c r="X131" i="2" s="1"/>
  <c r="Y43" i="2"/>
  <c r="Z43" i="2" s="1"/>
  <c r="X43" i="2" a="1"/>
  <c r="X43" i="2" s="1"/>
  <c r="Y50" i="2"/>
  <c r="Z50" i="2" s="1"/>
  <c r="X50" i="2" a="1"/>
  <c r="X50" i="2" s="1"/>
  <c r="Y86" i="2"/>
  <c r="Z86" i="2" s="1"/>
  <c r="X86" i="2" a="1"/>
  <c r="X86" i="2" s="1"/>
  <c r="AE125" i="2"/>
  <c r="AF125" i="2" s="1"/>
  <c r="AD154" i="2"/>
  <c r="AE131" i="2"/>
  <c r="AD128" i="2"/>
  <c r="AF128" i="2" s="1"/>
  <c r="AE193" i="2"/>
  <c r="AE210" i="2"/>
  <c r="AF210" i="2" s="1"/>
  <c r="AE309" i="2"/>
  <c r="AD276" i="2"/>
  <c r="AD365" i="2"/>
  <c r="AF365" i="2" s="1"/>
  <c r="AE232" i="2"/>
  <c r="AF232" i="2" s="1"/>
  <c r="AD381" i="2"/>
  <c r="AF381" i="2" s="1"/>
  <c r="AE382" i="2"/>
  <c r="AE276" i="2"/>
  <c r="AE308" i="2"/>
  <c r="AF308" i="2" s="1"/>
  <c r="AE340" i="2"/>
  <c r="AE372" i="2"/>
  <c r="AD286" i="2"/>
  <c r="AF286" i="2" s="1"/>
  <c r="AD334" i="2"/>
  <c r="AF334" i="2" s="1"/>
  <c r="AD350" i="2"/>
  <c r="AF350" i="2" s="1"/>
  <c r="AD445" i="2"/>
  <c r="AF445" i="2" s="1"/>
  <c r="AE357" i="2"/>
  <c r="AF357" i="2" s="1"/>
  <c r="AD430" i="2"/>
  <c r="AF430" i="2" s="1"/>
  <c r="AD463" i="2"/>
  <c r="AF463" i="2" s="1"/>
  <c r="AE424" i="2"/>
  <c r="AD509" i="2"/>
  <c r="AF509" i="2" s="1"/>
  <c r="AE522" i="2"/>
  <c r="AE489" i="2"/>
  <c r="AF489" i="2" s="1"/>
  <c r="AD626" i="2"/>
  <c r="AE488" i="2"/>
  <c r="AE587" i="2"/>
  <c r="AF587" i="2" s="1"/>
  <c r="AE623" i="2"/>
  <c r="AF623" i="2" s="1"/>
  <c r="AE626" i="2"/>
  <c r="AE604" i="2"/>
  <c r="AD582" i="2"/>
  <c r="AF582" i="2" s="1"/>
  <c r="AD577" i="2"/>
  <c r="AF577" i="2" s="1"/>
  <c r="AD614" i="2"/>
  <c r="AD670" i="2"/>
  <c r="AE695" i="2"/>
  <c r="AF695" i="2" s="1"/>
  <c r="AD680" i="2"/>
  <c r="AF680" i="2" s="1"/>
  <c r="AE700" i="2"/>
  <c r="AF700" i="2" s="1"/>
  <c r="AD716" i="2"/>
  <c r="AF716" i="2" s="1"/>
  <c r="AE726" i="2"/>
  <c r="AD729" i="2"/>
  <c r="AF729" i="2" s="1"/>
  <c r="AE734" i="2"/>
  <c r="AD743" i="2"/>
  <c r="AF743" i="2" s="1"/>
  <c r="AD759" i="2"/>
  <c r="AF759" i="2" s="1"/>
  <c r="X148" i="2" a="1"/>
  <c r="X148" i="2" s="1"/>
  <c r="Y148" i="2"/>
  <c r="Z148" i="2" s="1"/>
  <c r="X137" i="2" a="1"/>
  <c r="X137" i="2" s="1"/>
  <c r="Y137" i="2"/>
  <c r="Z137" i="2" s="1"/>
  <c r="X109" i="2" a="1"/>
  <c r="X109" i="2" s="1"/>
  <c r="Y109" i="2"/>
  <c r="Z109" i="2" s="1"/>
  <c r="Y38" i="2"/>
  <c r="Z38" i="2" s="1"/>
  <c r="X38" i="2" a="1"/>
  <c r="X38" i="2" s="1"/>
  <c r="Y35" i="2"/>
  <c r="Z35" i="2" s="1"/>
  <c r="X35" i="2" a="1"/>
  <c r="X35" i="2" s="1"/>
  <c r="X61" i="2" a="1"/>
  <c r="X61" i="2" s="1"/>
  <c r="Y61" i="2"/>
  <c r="Z61" i="2" s="1"/>
  <c r="Y195" i="2"/>
  <c r="Z195" i="2" s="1"/>
  <c r="X195" i="2" a="1"/>
  <c r="X195" i="2" s="1"/>
  <c r="X167" i="2" a="1"/>
  <c r="X167" i="2" s="1"/>
  <c r="Y167" i="2"/>
  <c r="Z167" i="2" s="1"/>
  <c r="Y138" i="2"/>
  <c r="Z138" i="2" s="1"/>
  <c r="X138" i="2" a="1"/>
  <c r="X138" i="2" s="1"/>
  <c r="X97" i="2" a="1"/>
  <c r="X97" i="2" s="1"/>
  <c r="Y97" i="2"/>
  <c r="Z97" i="2" s="1"/>
  <c r="X105" i="2" a="1"/>
  <c r="X105" i="2" s="1"/>
  <c r="Y105" i="2"/>
  <c r="Z105" i="2" s="1"/>
  <c r="X48" i="2" a="1"/>
  <c r="X48" i="2" s="1"/>
  <c r="Y48" i="2"/>
  <c r="Z48" i="2" s="1"/>
  <c r="Y110" i="2"/>
  <c r="Z110" i="2" s="1"/>
  <c r="X110" i="2" a="1"/>
  <c r="X110" i="2" s="1"/>
  <c r="Y79" i="2"/>
  <c r="Z79" i="2" s="1"/>
  <c r="X79" i="2" a="1"/>
  <c r="X79" i="2" s="1"/>
  <c r="AD49" i="2"/>
  <c r="AF49" i="2" s="1"/>
  <c r="AD101" i="2"/>
  <c r="V11" i="2"/>
  <c r="W11" i="2" s="1"/>
  <c r="AE157" i="2"/>
  <c r="AF157" i="2" s="1"/>
  <c r="Y630" i="2"/>
  <c r="Z630" i="2" s="1"/>
  <c r="X630" i="2" a="1"/>
  <c r="X630" i="2" s="1"/>
  <c r="Y674" i="2"/>
  <c r="Z674" i="2" s="1"/>
  <c r="X674" i="2" a="1"/>
  <c r="X674" i="2" s="1"/>
  <c r="X642" i="2" a="1"/>
  <c r="X642" i="2" s="1"/>
  <c r="Y642" i="2"/>
  <c r="Z642" i="2" s="1"/>
  <c r="X639" i="2" a="1"/>
  <c r="X639" i="2" s="1"/>
  <c r="Y639" i="2"/>
  <c r="Z639" i="2" s="1"/>
  <c r="Y486" i="2"/>
  <c r="Z486" i="2" s="1"/>
  <c r="X486" i="2" a="1"/>
  <c r="X486" i="2" s="1"/>
  <c r="X558" i="2" a="1"/>
  <c r="X558" i="2" s="1"/>
  <c r="Y558" i="2"/>
  <c r="Z558" i="2" s="1"/>
  <c r="Y503" i="2"/>
  <c r="Z503" i="2" s="1"/>
  <c r="X503" i="2" a="1"/>
  <c r="X503" i="2" s="1"/>
  <c r="Y531" i="2"/>
  <c r="Z531" i="2" s="1"/>
  <c r="X531" i="2" a="1"/>
  <c r="X531" i="2" s="1"/>
  <c r="Y362" i="2"/>
  <c r="Z362" i="2" s="1"/>
  <c r="X362" i="2" a="1"/>
  <c r="X362" i="2" s="1"/>
  <c r="Y767" i="2"/>
  <c r="Z767" i="2" s="1"/>
  <c r="X767" i="2" a="1"/>
  <c r="X767" i="2" s="1"/>
  <c r="Y585" i="2"/>
  <c r="Z585" i="2" s="1"/>
  <c r="X585" i="2" a="1"/>
  <c r="X585" i="2" s="1"/>
  <c r="X569" i="2" a="1"/>
  <c r="X569" i="2" s="1"/>
  <c r="Y569" i="2"/>
  <c r="Z569" i="2" s="1"/>
  <c r="Y552" i="2"/>
  <c r="Z552" i="2" s="1"/>
  <c r="X552" i="2" a="1"/>
  <c r="X552" i="2" s="1"/>
  <c r="Y506" i="2"/>
  <c r="Z506" i="2" s="1"/>
  <c r="X506" i="2" a="1"/>
  <c r="X506" i="2" s="1"/>
  <c r="X568" i="2" a="1"/>
  <c r="X568" i="2" s="1"/>
  <c r="Y568" i="2"/>
  <c r="Z568" i="2" s="1"/>
  <c r="Y534" i="2"/>
  <c r="Z534" i="2" s="1"/>
  <c r="X534" i="2" a="1"/>
  <c r="X534" i="2" s="1"/>
  <c r="Y499" i="2"/>
  <c r="Z499" i="2" s="1"/>
  <c r="X499" i="2" a="1"/>
  <c r="X499" i="2" s="1"/>
  <c r="X445" i="2" a="1"/>
  <c r="X445" i="2" s="1"/>
  <c r="Y445" i="2"/>
  <c r="Z445" i="2" s="1"/>
  <c r="Y435" i="2"/>
  <c r="Z435" i="2" s="1"/>
  <c r="X435" i="2" a="1"/>
  <c r="X435" i="2" s="1"/>
  <c r="X469" i="2" a="1"/>
  <c r="X469" i="2" s="1"/>
  <c r="Y469" i="2"/>
  <c r="Z469" i="2" s="1"/>
  <c r="X454" i="2" a="1"/>
  <c r="X454" i="2" s="1"/>
  <c r="Y454" i="2"/>
  <c r="Z454" i="2" s="1"/>
  <c r="Y448" i="2"/>
  <c r="Z448" i="2" s="1"/>
  <c r="X448" i="2" a="1"/>
  <c r="X448" i="2" s="1"/>
  <c r="X425" i="2" a="1"/>
  <c r="X425" i="2" s="1"/>
  <c r="Y425" i="2"/>
  <c r="Z425" i="2" s="1"/>
  <c r="X326" i="2" a="1"/>
  <c r="X326" i="2" s="1"/>
  <c r="Y326" i="2"/>
  <c r="Z326" i="2" s="1"/>
  <c r="X399" i="2" a="1"/>
  <c r="X399" i="2" s="1"/>
  <c r="Y399" i="2"/>
  <c r="Z399" i="2" s="1"/>
  <c r="Y289" i="2"/>
  <c r="Z289" i="2" s="1"/>
  <c r="X289" i="2" a="1"/>
  <c r="X289" i="2" s="1"/>
  <c r="X397" i="2" a="1"/>
  <c r="X397" i="2" s="1"/>
  <c r="Y397" i="2"/>
  <c r="Z397" i="2" s="1"/>
  <c r="X336" i="2" a="1"/>
  <c r="X336" i="2" s="1"/>
  <c r="Y336" i="2"/>
  <c r="Z336" i="2" s="1"/>
  <c r="Y277" i="2"/>
  <c r="Z277" i="2" s="1"/>
  <c r="X277" i="2" a="1"/>
  <c r="X277" i="2" s="1"/>
  <c r="Y282" i="2"/>
  <c r="Z282" i="2" s="1"/>
  <c r="X282" i="2" a="1"/>
  <c r="X282" i="2" s="1"/>
  <c r="Y262" i="2"/>
  <c r="Z262" i="2" s="1"/>
  <c r="X262" i="2" a="1"/>
  <c r="X262" i="2" s="1"/>
  <c r="Y213" i="2"/>
  <c r="Z213" i="2" s="1"/>
  <c r="X213" i="2" a="1"/>
  <c r="X213" i="2" s="1"/>
  <c r="Y208" i="2"/>
  <c r="Z208" i="2" s="1"/>
  <c r="X208" i="2" a="1"/>
  <c r="X208" i="2" s="1"/>
  <c r="Y203" i="2"/>
  <c r="Z203" i="2" s="1"/>
  <c r="X203" i="2" a="1"/>
  <c r="X203" i="2" s="1"/>
  <c r="Y99" i="2"/>
  <c r="Z99" i="2" s="1"/>
  <c r="X99" i="2" a="1"/>
  <c r="X99" i="2" s="1"/>
  <c r="X21" i="2" a="1"/>
  <c r="X21" i="2" s="1"/>
  <c r="Y21" i="2"/>
  <c r="Z21" i="2" s="1"/>
  <c r="V746" i="2"/>
  <c r="W746" i="2" s="1"/>
  <c r="X640" i="2" a="1"/>
  <c r="X640" i="2" s="1"/>
  <c r="Y640" i="2"/>
  <c r="Z640" i="2" s="1"/>
  <c r="Y666" i="2"/>
  <c r="Z666" i="2" s="1"/>
  <c r="X666" i="2" a="1"/>
  <c r="X666" i="2" s="1"/>
  <c r="Y631" i="2"/>
  <c r="Z631" i="2" s="1"/>
  <c r="X631" i="2" a="1"/>
  <c r="X631" i="2" s="1"/>
  <c r="Y649" i="2"/>
  <c r="Z649" i="2" s="1"/>
  <c r="X649" i="2" a="1"/>
  <c r="X649" i="2" s="1"/>
  <c r="Y627" i="2"/>
  <c r="Z627" i="2" s="1"/>
  <c r="X627" i="2" a="1"/>
  <c r="X627" i="2" s="1"/>
  <c r="Y624" i="2"/>
  <c r="Z624" i="2" s="1"/>
  <c r="X624" i="2" a="1"/>
  <c r="X624" i="2" s="1"/>
  <c r="V621" i="2"/>
  <c r="W621" i="2" s="1"/>
  <c r="Y564" i="2"/>
  <c r="Z564" i="2" s="1"/>
  <c r="X564" i="2" a="1"/>
  <c r="X564" i="2" s="1"/>
  <c r="V629" i="2"/>
  <c r="W629" i="2" s="1"/>
  <c r="Y535" i="2"/>
  <c r="Z535" i="2" s="1"/>
  <c r="X535" i="2" a="1"/>
  <c r="X535" i="2" s="1"/>
  <c r="Y543" i="2"/>
  <c r="Z543" i="2" s="1"/>
  <c r="X543" i="2" a="1"/>
  <c r="X543" i="2" s="1"/>
  <c r="V602" i="2"/>
  <c r="W602" i="2" s="1"/>
  <c r="V594" i="2"/>
  <c r="W594" i="2" s="1"/>
  <c r="X580" i="2" a="1"/>
  <c r="X580" i="2" s="1"/>
  <c r="Y580" i="2"/>
  <c r="Z580" i="2" s="1"/>
  <c r="X501" i="2" a="1"/>
  <c r="X501" i="2" s="1"/>
  <c r="Y501" i="2"/>
  <c r="Z501" i="2" s="1"/>
  <c r="V465" i="2"/>
  <c r="W465" i="2" s="1"/>
  <c r="X421" i="2" a="1"/>
  <c r="X421" i="2" s="1"/>
  <c r="Y421" i="2"/>
  <c r="Z421" i="2" s="1"/>
  <c r="V459" i="2"/>
  <c r="W459" i="2" s="1"/>
  <c r="Y378" i="2"/>
  <c r="Z378" i="2" s="1"/>
  <c r="X378" i="2" a="1"/>
  <c r="X378" i="2" s="1"/>
  <c r="Y388" i="2"/>
  <c r="Z388" i="2" s="1"/>
  <c r="X388" i="2" a="1"/>
  <c r="X388" i="2" s="1"/>
  <c r="X284" i="2" a="1"/>
  <c r="X284" i="2" s="1"/>
  <c r="Y284" i="2"/>
  <c r="Z284" i="2" s="1"/>
  <c r="V359" i="2"/>
  <c r="W359" i="2" s="1"/>
  <c r="Y317" i="2"/>
  <c r="Z317" i="2" s="1"/>
  <c r="X317" i="2" a="1"/>
  <c r="X317" i="2" s="1"/>
  <c r="Y247" i="2"/>
  <c r="Z247" i="2" s="1"/>
  <c r="X247" i="2" a="1"/>
  <c r="X247" i="2" s="1"/>
  <c r="V275" i="2"/>
  <c r="W275" i="2" s="1"/>
  <c r="V260" i="2"/>
  <c r="W260" i="2" s="1"/>
  <c r="X228" i="2" a="1"/>
  <c r="X228" i="2" s="1"/>
  <c r="Y228" i="2"/>
  <c r="Z228" i="2" s="1"/>
  <c r="V316" i="2"/>
  <c r="W316" i="2" s="1"/>
  <c r="V302" i="2"/>
  <c r="W302" i="2" s="1"/>
  <c r="Y246" i="2"/>
  <c r="Z246" i="2" s="1"/>
  <c r="X246" i="2" a="1"/>
  <c r="X246" i="2" s="1"/>
  <c r="Y222" i="2"/>
  <c r="Z222" i="2" s="1"/>
  <c r="X222" i="2" a="1"/>
  <c r="X222" i="2" s="1"/>
  <c r="V278" i="2"/>
  <c r="W278" i="2" s="1"/>
  <c r="V261" i="2"/>
  <c r="W261" i="2" s="1"/>
  <c r="V292" i="2"/>
  <c r="W292" i="2" s="1"/>
  <c r="V223" i="2"/>
  <c r="W223" i="2" s="1"/>
  <c r="V229" i="2"/>
  <c r="W229" i="2" s="1"/>
  <c r="V181" i="2"/>
  <c r="W181" i="2" s="1"/>
  <c r="V207" i="2"/>
  <c r="W207" i="2" s="1"/>
  <c r="V259" i="2"/>
  <c r="W259" i="2" s="1"/>
  <c r="V153" i="2"/>
  <c r="W153" i="2" s="1"/>
  <c r="Y74" i="2"/>
  <c r="Z74" i="2" s="1"/>
  <c r="X74" i="2" a="1"/>
  <c r="X74" i="2" s="1"/>
  <c r="X17" i="2" a="1"/>
  <c r="X17" i="2" s="1"/>
  <c r="Y17" i="2"/>
  <c r="Z17" i="2" s="1"/>
  <c r="AE34" i="2"/>
  <c r="AF34" i="2" s="1"/>
  <c r="Y143" i="2"/>
  <c r="Z143" i="2" s="1"/>
  <c r="X143" i="2" a="1"/>
  <c r="X143" i="2" s="1"/>
  <c r="V63" i="2"/>
  <c r="W63" i="2" s="1"/>
  <c r="AE165" i="2"/>
  <c r="AD10" i="2"/>
  <c r="AD42" i="2"/>
  <c r="AF42" i="2" s="1"/>
  <c r="AD74" i="2"/>
  <c r="AF74" i="2" s="1"/>
  <c r="AD106" i="2"/>
  <c r="AF106" i="2" s="1"/>
  <c r="AE154" i="2"/>
  <c r="AD99" i="2"/>
  <c r="AF99" i="2" s="1"/>
  <c r="AD131" i="2"/>
  <c r="AF131" i="2" s="1"/>
  <c r="AE169" i="2"/>
  <c r="AF169" i="2" s="1"/>
  <c r="AE197" i="2"/>
  <c r="AD158" i="2"/>
  <c r="AF158" i="2" s="1"/>
  <c r="AD174" i="2"/>
  <c r="AF174" i="2" s="1"/>
  <c r="AE289" i="2"/>
  <c r="AF289" i="2" s="1"/>
  <c r="AD241" i="2"/>
  <c r="AE241" i="2"/>
  <c r="AD340" i="2"/>
  <c r="AF340" i="2" s="1"/>
  <c r="AE262" i="2"/>
  <c r="AF262" i="2" s="1"/>
  <c r="AD284" i="2"/>
  <c r="AF284" i="2" s="1"/>
  <c r="AD228" i="2"/>
  <c r="AF228" i="2" s="1"/>
  <c r="AD244" i="2"/>
  <c r="AF244" i="2" s="1"/>
  <c r="AE301" i="2"/>
  <c r="AF301" i="2" s="1"/>
  <c r="AD401" i="2"/>
  <c r="AF401" i="2" s="1"/>
  <c r="AE314" i="2"/>
  <c r="AD393" i="2"/>
  <c r="AD344" i="2"/>
  <c r="AE344" i="2"/>
  <c r="AD409" i="2"/>
  <c r="AE403" i="2"/>
  <c r="AF403" i="2" s="1"/>
  <c r="AE423" i="2"/>
  <c r="AD360" i="2"/>
  <c r="AF360" i="2" s="1"/>
  <c r="AD376" i="2"/>
  <c r="AF376" i="2" s="1"/>
  <c r="AE393" i="2"/>
  <c r="AD433" i="2"/>
  <c r="AF433" i="2" s="1"/>
  <c r="AD471" i="2"/>
  <c r="AF471" i="2" s="1"/>
  <c r="AD383" i="2"/>
  <c r="AF383" i="2" s="1"/>
  <c r="AD399" i="2"/>
  <c r="AF399" i="2" s="1"/>
  <c r="AD415" i="2"/>
  <c r="AE425" i="2"/>
  <c r="AF425" i="2" s="1"/>
  <c r="AD434" i="2"/>
  <c r="AF434" i="2" s="1"/>
  <c r="AD466" i="2"/>
  <c r="AF466" i="2" s="1"/>
  <c r="AE454" i="2"/>
  <c r="AF454" i="2" s="1"/>
  <c r="AD428" i="2"/>
  <c r="AF428" i="2" s="1"/>
  <c r="AD444" i="2"/>
  <c r="AD460" i="2"/>
  <c r="AF460" i="2" s="1"/>
  <c r="AD503" i="2"/>
  <c r="AF503" i="2" s="1"/>
  <c r="AE493" i="2"/>
  <c r="AF493" i="2" s="1"/>
  <c r="AD513" i="2"/>
  <c r="AF513" i="2" s="1"/>
  <c r="AD562" i="2"/>
  <c r="AD530" i="2"/>
  <c r="AF530" i="2" s="1"/>
  <c r="AD564" i="2"/>
  <c r="AF564" i="2" s="1"/>
  <c r="AE640" i="2"/>
  <c r="AF640" i="2" s="1"/>
  <c r="AD546" i="2"/>
  <c r="AF546" i="2" s="1"/>
  <c r="AE610" i="2"/>
  <c r="AF610" i="2" s="1"/>
  <c r="AE543" i="2"/>
  <c r="AF543" i="2" s="1"/>
  <c r="AE583" i="2"/>
  <c r="AD592" i="2"/>
  <c r="AF592" i="2" s="1"/>
  <c r="AD627" i="2"/>
  <c r="AF627" i="2" s="1"/>
  <c r="AE546" i="2"/>
  <c r="AD531" i="2"/>
  <c r="AF531" i="2" s="1"/>
  <c r="AD547" i="2"/>
  <c r="AF547" i="2" s="1"/>
  <c r="AD563" i="2"/>
  <c r="AF563" i="2" s="1"/>
  <c r="AD595" i="2"/>
  <c r="AF595" i="2" s="1"/>
  <c r="AD611" i="2"/>
  <c r="AF611" i="2" s="1"/>
  <c r="AE639" i="2"/>
  <c r="AF639" i="2" s="1"/>
  <c r="AE617" i="2"/>
  <c r="AF617" i="2" s="1"/>
  <c r="AE670" i="2"/>
  <c r="AD669" i="2"/>
  <c r="AF669" i="2" s="1"/>
  <c r="AE644" i="2"/>
  <c r="AD679" i="2"/>
  <c r="AE684" i="2"/>
  <c r="AD658" i="2"/>
  <c r="AD656" i="2"/>
  <c r="AF656" i="2" s="1"/>
  <c r="AD728" i="2"/>
  <c r="AF728" i="2" s="1"/>
  <c r="AD720" i="2"/>
  <c r="AF720" i="2" s="1"/>
  <c r="AD696" i="2"/>
  <c r="AF696" i="2" s="1"/>
  <c r="AD734" i="2"/>
  <c r="AF734" i="2" s="1"/>
  <c r="AE762" i="2"/>
  <c r="AF762" i="2" s="1"/>
  <c r="AD742" i="2"/>
  <c r="AF742" i="2" s="1"/>
  <c r="V77" i="2"/>
  <c r="W77" i="2" s="1"/>
  <c r="Y26" i="2"/>
  <c r="Z26" i="2" s="1"/>
  <c r="X26" i="2" a="1"/>
  <c r="X26" i="2" s="1"/>
  <c r="V129" i="2"/>
  <c r="W129" i="2" s="1"/>
  <c r="AD61" i="2"/>
  <c r="AF61" i="2" s="1"/>
  <c r="AD29" i="2"/>
  <c r="AF29" i="2" s="1"/>
  <c r="Y103" i="2"/>
  <c r="Z103" i="2" s="1"/>
  <c r="X103" i="2" a="1"/>
  <c r="X103" i="2" s="1"/>
  <c r="V47" i="2"/>
  <c r="W47" i="2" s="1"/>
  <c r="AE18" i="2"/>
  <c r="AF18" i="2" s="1"/>
  <c r="AD9" i="2"/>
  <c r="AF9" i="2" s="1"/>
  <c r="Y118" i="2"/>
  <c r="Z118" i="2" s="1"/>
  <c r="X118" i="2" a="1"/>
  <c r="X118" i="2" s="1"/>
  <c r="P67" i="1" l="1"/>
  <c r="AF586" i="2"/>
  <c r="AF478" i="2"/>
  <c r="AF31" i="2"/>
  <c r="AE199" i="2"/>
  <c r="X433" i="2" a="1"/>
  <c r="X433" i="2" s="1"/>
  <c r="AD55" i="2"/>
  <c r="X324" i="2" a="1"/>
  <c r="X324" i="2" s="1"/>
  <c r="X59" i="2" a="1"/>
  <c r="X59" i="2" s="1"/>
  <c r="AE82" i="2"/>
  <c r="AF760" i="2"/>
  <c r="AD329" i="2"/>
  <c r="AF329" i="2" s="1"/>
  <c r="Y329" i="2"/>
  <c r="Z329" i="2" s="1"/>
  <c r="Y379" i="2"/>
  <c r="Z379" i="2" s="1"/>
  <c r="AD82" i="2"/>
  <c r="AE109" i="2"/>
  <c r="AD109" i="2"/>
  <c r="AF559" i="2"/>
  <c r="AF116" i="2"/>
  <c r="AF416" i="2"/>
  <c r="AE379" i="2"/>
  <c r="AD208" i="2"/>
  <c r="AF208" i="2" s="1"/>
  <c r="AE208" i="2"/>
  <c r="X567" i="2" a="1"/>
  <c r="X567" i="2" s="1"/>
  <c r="AD567" i="2"/>
  <c r="AF567" i="2" s="1"/>
  <c r="AE567" i="2"/>
  <c r="Y567" i="2"/>
  <c r="Z567" i="2" s="1"/>
  <c r="AF114" i="2"/>
  <c r="AD676" i="2"/>
  <c r="AF676" i="2" s="1"/>
  <c r="Y676" i="2"/>
  <c r="Z676" i="2" s="1"/>
  <c r="X676" i="2" a="1"/>
  <c r="X676" i="2" s="1"/>
  <c r="AF10" i="2"/>
  <c r="AF379" i="2"/>
  <c r="AF377" i="2"/>
  <c r="AF202" i="2"/>
  <c r="X463" i="2" a="1"/>
  <c r="X463" i="2" s="1"/>
  <c r="X759" i="2" a="1"/>
  <c r="X759" i="2" s="1"/>
  <c r="AE324" i="2"/>
  <c r="AF324" i="2" s="1"/>
  <c r="AE352" i="2"/>
  <c r="AF352" i="2" s="1"/>
  <c r="Y199" i="2"/>
  <c r="Z199" i="2" s="1"/>
  <c r="X352" i="2" a="1"/>
  <c r="X352" i="2" s="1"/>
  <c r="AE195" i="2"/>
  <c r="AD195" i="2"/>
  <c r="X179" i="2" a="1"/>
  <c r="X179" i="2" s="1"/>
  <c r="Y179" i="2"/>
  <c r="Z179" i="2" s="1"/>
  <c r="AD179" i="2"/>
  <c r="AF179" i="2" s="1"/>
  <c r="AE179" i="2"/>
  <c r="AF711" i="2"/>
  <c r="AE23" i="2"/>
  <c r="AD23" i="2"/>
  <c r="AF23" i="2" s="1"/>
  <c r="AF224" i="2"/>
  <c r="AF101" i="2"/>
  <c r="AF591" i="2"/>
  <c r="AF382" i="2"/>
  <c r="AF704" i="2"/>
  <c r="AD57" i="2"/>
  <c r="AE57" i="2"/>
  <c r="AF57" i="2" s="1"/>
  <c r="AE677" i="2"/>
  <c r="AD677" i="2"/>
  <c r="Y677" i="2"/>
  <c r="Z677" i="2" s="1"/>
  <c r="X677" i="2" a="1"/>
  <c r="X677" i="2" s="1"/>
  <c r="AF488" i="2"/>
  <c r="AE148" i="2"/>
  <c r="AF148" i="2" s="1"/>
  <c r="AF24" i="2"/>
  <c r="AF154" i="2"/>
  <c r="AF689" i="2"/>
  <c r="AF607" i="2"/>
  <c r="AF498" i="2"/>
  <c r="AF562" i="2"/>
  <c r="AE312" i="2"/>
  <c r="AF528" i="2"/>
  <c r="AF309" i="2"/>
  <c r="AE55" i="2"/>
  <c r="Y443" i="2"/>
  <c r="Z443" i="2" s="1"/>
  <c r="AD314" i="2"/>
  <c r="AD204" i="2"/>
  <c r="AE415" i="2"/>
  <c r="AF415" i="2" s="1"/>
  <c r="Y204" i="2"/>
  <c r="Z204" i="2" s="1"/>
  <c r="AE524" i="2"/>
  <c r="AF524" i="2" s="1"/>
  <c r="Y55" i="2"/>
  <c r="Z55" i="2" s="1"/>
  <c r="AE721" i="2"/>
  <c r="AD721" i="2"/>
  <c r="Y721" i="2"/>
  <c r="Z721" i="2" s="1"/>
  <c r="X721" i="2" a="1"/>
  <c r="X721" i="2" s="1"/>
  <c r="AF348" i="2"/>
  <c r="Y332" i="2"/>
  <c r="Z332" i="2" s="1"/>
  <c r="X524" i="2" a="1"/>
  <c r="X524" i="2" s="1"/>
  <c r="Y85" i="2"/>
  <c r="Z85" i="2" s="1"/>
  <c r="AD427" i="2"/>
  <c r="AF427" i="2" s="1"/>
  <c r="AF82" i="2"/>
  <c r="AD397" i="2"/>
  <c r="AE397" i="2"/>
  <c r="AE79" i="2"/>
  <c r="AD79" i="2"/>
  <c r="AF686" i="2"/>
  <c r="AD19" i="2"/>
  <c r="AF19" i="2" s="1"/>
  <c r="AE19" i="2"/>
  <c r="AF410" i="2"/>
  <c r="AF658" i="2"/>
  <c r="AE443" i="2"/>
  <c r="AF443" i="2" s="1"/>
  <c r="AF393" i="2"/>
  <c r="X332" i="2" a="1"/>
  <c r="X332" i="2" s="1"/>
  <c r="Y524" i="2"/>
  <c r="Z524" i="2" s="1"/>
  <c r="AD85" i="2"/>
  <c r="AF85" i="2" s="1"/>
  <c r="AF385" i="2"/>
  <c r="AE332" i="2"/>
  <c r="AF332" i="2" s="1"/>
  <c r="X85" i="2" a="1"/>
  <c r="X85" i="2" s="1"/>
  <c r="Y312" i="2"/>
  <c r="Z312" i="2" s="1"/>
  <c r="AD387" i="2"/>
  <c r="AF387" i="2" s="1"/>
  <c r="AD765" i="2"/>
  <c r="AF765" i="2" s="1"/>
  <c r="AF659" i="2"/>
  <c r="AF66" i="2"/>
  <c r="AD73" i="2"/>
  <c r="AE73" i="2"/>
  <c r="Y206" i="2"/>
  <c r="Z206" i="2" s="1"/>
  <c r="X206" i="2" a="1"/>
  <c r="X206" i="2" s="1"/>
  <c r="AD206" i="2"/>
  <c r="AE206" i="2"/>
  <c r="AF241" i="2"/>
  <c r="AF670" i="2"/>
  <c r="X387" i="2" a="1"/>
  <c r="X387" i="2" s="1"/>
  <c r="X765" i="2" a="1"/>
  <c r="X765" i="2" s="1"/>
  <c r="AF505" i="2"/>
  <c r="AF165" i="2"/>
  <c r="AF747" i="2"/>
  <c r="AE201" i="2"/>
  <c r="AD201" i="2"/>
  <c r="AF201" i="2" s="1"/>
  <c r="AE702" i="2"/>
  <c r="AD702" i="2"/>
  <c r="Y702" i="2"/>
  <c r="Z702" i="2" s="1"/>
  <c r="X702" i="2" a="1"/>
  <c r="X702" i="2" s="1"/>
  <c r="AD149" i="2"/>
  <c r="AE149" i="2"/>
  <c r="AE447" i="2"/>
  <c r="AD447" i="2"/>
  <c r="AF447" i="2" s="1"/>
  <c r="Y134" i="2"/>
  <c r="Z134" i="2" s="1"/>
  <c r="X134" i="2" a="1"/>
  <c r="X134" i="2" s="1"/>
  <c r="AE134" i="2"/>
  <c r="AD134" i="2"/>
  <c r="AF134" i="2" s="1"/>
  <c r="AF444" i="2"/>
  <c r="AF626" i="2"/>
  <c r="Y294" i="2"/>
  <c r="Z294" i="2" s="1"/>
  <c r="Y314" i="2"/>
  <c r="Z314" i="2" s="1"/>
  <c r="X427" i="2" a="1"/>
  <c r="X427" i="2" s="1"/>
  <c r="AE89" i="2"/>
  <c r="AD89" i="2"/>
  <c r="AD643" i="2"/>
  <c r="X643" i="2" a="1"/>
  <c r="X643" i="2" s="1"/>
  <c r="Y643" i="2"/>
  <c r="Z643" i="2" s="1"/>
  <c r="AE643" i="2"/>
  <c r="AF146" i="2"/>
  <c r="AF313" i="2"/>
  <c r="AF495" i="2"/>
  <c r="AD69" i="2"/>
  <c r="AE69" i="2"/>
  <c r="X69" i="2" a="1"/>
  <c r="X69" i="2" s="1"/>
  <c r="X294" i="2" a="1"/>
  <c r="X294" i="2" s="1"/>
  <c r="Y427" i="2"/>
  <c r="Z427" i="2" s="1"/>
  <c r="AF94" i="2"/>
  <c r="AE297" i="2"/>
  <c r="Y297" i="2"/>
  <c r="Z297" i="2" s="1"/>
  <c r="X297" i="2" a="1"/>
  <c r="X297" i="2" s="1"/>
  <c r="AD297" i="2"/>
  <c r="AF297" i="2" s="1"/>
  <c r="AF713" i="2"/>
  <c r="AF76" i="2"/>
  <c r="AE588" i="2"/>
  <c r="Y588" i="2"/>
  <c r="Z588" i="2" s="1"/>
  <c r="X588" i="2" a="1"/>
  <c r="X588" i="2" s="1"/>
  <c r="AD588" i="2"/>
  <c r="AF209" i="2"/>
  <c r="AF566" i="2"/>
  <c r="Y697" i="2"/>
  <c r="Z697" i="2" s="1"/>
  <c r="X697" i="2" a="1"/>
  <c r="X697" i="2" s="1"/>
  <c r="AD697" i="2"/>
  <c r="AE697" i="2"/>
  <c r="X145" i="2" a="1"/>
  <c r="X145" i="2" s="1"/>
  <c r="Y145" i="2"/>
  <c r="Z145" i="2" s="1"/>
  <c r="AD145" i="2"/>
  <c r="AE145" i="2"/>
  <c r="Y265" i="2"/>
  <c r="Z265" i="2" s="1"/>
  <c r="X265" i="2" a="1"/>
  <c r="X265" i="2" s="1"/>
  <c r="AD265" i="2"/>
  <c r="AE265" i="2"/>
  <c r="Y47" i="2"/>
  <c r="Z47" i="2" s="1"/>
  <c r="X47" i="2" a="1"/>
  <c r="X47" i="2" s="1"/>
  <c r="AD47" i="2"/>
  <c r="AE47" i="2"/>
  <c r="X77" i="2" a="1"/>
  <c r="X77" i="2" s="1"/>
  <c r="Y77" i="2"/>
  <c r="Z77" i="2" s="1"/>
  <c r="AD77" i="2"/>
  <c r="AE77" i="2"/>
  <c r="AF344" i="2"/>
  <c r="Y261" i="2"/>
  <c r="Z261" i="2" s="1"/>
  <c r="X261" i="2" a="1"/>
  <c r="X261" i="2" s="1"/>
  <c r="AE261" i="2"/>
  <c r="AD261" i="2"/>
  <c r="X359" i="2" a="1"/>
  <c r="X359" i="2" s="1"/>
  <c r="Y359" i="2"/>
  <c r="Z359" i="2" s="1"/>
  <c r="AE359" i="2"/>
  <c r="AD359" i="2"/>
  <c r="Y602" i="2"/>
  <c r="Z602" i="2" s="1"/>
  <c r="X602" i="2" a="1"/>
  <c r="X602" i="2" s="1"/>
  <c r="AE602" i="2"/>
  <c r="AD602" i="2"/>
  <c r="X621" i="2" a="1"/>
  <c r="X621" i="2" s="1"/>
  <c r="Y621" i="2"/>
  <c r="Z621" i="2" s="1"/>
  <c r="AD621" i="2"/>
  <c r="AE621" i="2"/>
  <c r="AF276" i="2"/>
  <c r="AF193" i="2"/>
  <c r="AF446" i="2"/>
  <c r="Y75" i="2"/>
  <c r="Z75" i="2" s="1"/>
  <c r="X75" i="2" a="1"/>
  <c r="X75" i="2" s="1"/>
  <c r="AD75" i="2"/>
  <c r="AE75" i="2"/>
  <c r="X298" i="2" a="1"/>
  <c r="X298" i="2" s="1"/>
  <c r="Y298" i="2"/>
  <c r="Z298" i="2" s="1"/>
  <c r="AD298" i="2"/>
  <c r="AE298" i="2"/>
  <c r="X576" i="2" a="1"/>
  <c r="X576" i="2" s="1"/>
  <c r="Y576" i="2"/>
  <c r="Z576" i="2" s="1"/>
  <c r="AE576" i="2"/>
  <c r="AD576" i="2"/>
  <c r="AF576" i="2" s="1"/>
  <c r="AF497" i="2"/>
  <c r="X133" i="2" a="1"/>
  <c r="X133" i="2" s="1"/>
  <c r="Y133" i="2"/>
  <c r="Z133" i="2" s="1"/>
  <c r="AD133" i="2"/>
  <c r="AF133" i="2" s="1"/>
  <c r="AE133" i="2"/>
  <c r="X205" i="2" a="1"/>
  <c r="X205" i="2" s="1"/>
  <c r="Y205" i="2"/>
  <c r="Z205" i="2" s="1"/>
  <c r="AD205" i="2"/>
  <c r="AF205" i="2" s="1"/>
  <c r="AE205" i="2"/>
  <c r="X322" i="2" a="1"/>
  <c r="X322" i="2" s="1"/>
  <c r="Y322" i="2"/>
  <c r="Z322" i="2" s="1"/>
  <c r="AD322" i="2"/>
  <c r="AF322" i="2" s="1"/>
  <c r="AE322" i="2"/>
  <c r="X328" i="2" a="1"/>
  <c r="X328" i="2" s="1"/>
  <c r="Y328" i="2"/>
  <c r="Z328" i="2" s="1"/>
  <c r="AD328" i="2"/>
  <c r="AE328" i="2"/>
  <c r="Y714" i="2"/>
  <c r="Z714" i="2" s="1"/>
  <c r="X714" i="2" a="1"/>
  <c r="X714" i="2" s="1"/>
  <c r="AD714" i="2"/>
  <c r="AF714" i="2" s="1"/>
  <c r="AE714" i="2"/>
  <c r="AF172" i="2"/>
  <c r="AF452" i="2"/>
  <c r="Y187" i="2"/>
  <c r="Z187" i="2" s="1"/>
  <c r="X187" i="2" a="1"/>
  <c r="X187" i="2" s="1"/>
  <c r="AE187" i="2"/>
  <c r="AD187" i="2"/>
  <c r="AF522" i="2"/>
  <c r="Y271" i="2"/>
  <c r="Z271" i="2" s="1"/>
  <c r="X271" i="2" a="1"/>
  <c r="X271" i="2" s="1"/>
  <c r="AD271" i="2"/>
  <c r="AE271" i="2"/>
  <c r="X375" i="2" a="1"/>
  <c r="X375" i="2" s="1"/>
  <c r="Y375" i="2"/>
  <c r="Z375" i="2" s="1"/>
  <c r="AE375" i="2"/>
  <c r="AD375" i="2"/>
  <c r="AF375" i="2" s="1"/>
  <c r="X310" i="2" a="1"/>
  <c r="X310" i="2" s="1"/>
  <c r="Y310" i="2"/>
  <c r="Z310" i="2" s="1"/>
  <c r="AE310" i="2"/>
  <c r="AD310" i="2"/>
  <c r="AF310" i="2" s="1"/>
  <c r="Y467" i="2"/>
  <c r="Z467" i="2" s="1"/>
  <c r="X467" i="2" a="1"/>
  <c r="X467" i="2" s="1"/>
  <c r="AD467" i="2"/>
  <c r="AE467" i="2"/>
  <c r="Y616" i="2"/>
  <c r="Z616" i="2" s="1"/>
  <c r="X616" i="2" a="1"/>
  <c r="X616" i="2" s="1"/>
  <c r="AE616" i="2"/>
  <c r="AD616" i="2"/>
  <c r="AF616" i="2" s="1"/>
  <c r="Y194" i="2"/>
  <c r="Z194" i="2" s="1"/>
  <c r="X194" i="2" a="1"/>
  <c r="X194" i="2" s="1"/>
  <c r="AE194" i="2"/>
  <c r="AD194" i="2"/>
  <c r="AF194" i="2" s="1"/>
  <c r="AF98" i="2"/>
  <c r="AF30" i="2"/>
  <c r="AF130" i="2"/>
  <c r="X41" i="2" a="1"/>
  <c r="X41" i="2" s="1"/>
  <c r="Y41" i="2"/>
  <c r="Z41" i="2" s="1"/>
  <c r="AD41" i="2"/>
  <c r="AE41" i="2"/>
  <c r="X338" i="2" a="1"/>
  <c r="X338" i="2" s="1"/>
  <c r="Y338" i="2"/>
  <c r="Z338" i="2" s="1"/>
  <c r="AE338" i="2"/>
  <c r="AD338" i="2"/>
  <c r="Y710" i="2"/>
  <c r="Z710" i="2" s="1"/>
  <c r="X710" i="2" a="1"/>
  <c r="X710" i="2" s="1"/>
  <c r="AD710" i="2"/>
  <c r="AE710" i="2"/>
  <c r="Y219" i="2"/>
  <c r="Z219" i="2" s="1"/>
  <c r="X219" i="2" a="1"/>
  <c r="X219" i="2" s="1"/>
  <c r="AD219" i="2"/>
  <c r="AE219" i="2"/>
  <c r="Y171" i="2"/>
  <c r="Z171" i="2" s="1"/>
  <c r="X171" i="2" a="1"/>
  <c r="X171" i="2" s="1"/>
  <c r="AE171" i="2"/>
  <c r="AD171" i="2"/>
  <c r="X81" i="2" a="1"/>
  <c r="X81" i="2" s="1"/>
  <c r="Y81" i="2"/>
  <c r="Z81" i="2" s="1"/>
  <c r="AD81" i="2"/>
  <c r="AE81" i="2"/>
  <c r="X346" i="2" a="1"/>
  <c r="X346" i="2" s="1"/>
  <c r="Y346" i="2"/>
  <c r="Z346" i="2" s="1"/>
  <c r="AE346" i="2"/>
  <c r="AD346" i="2"/>
  <c r="X292" i="2" a="1"/>
  <c r="X292" i="2" s="1"/>
  <c r="Y292" i="2"/>
  <c r="Z292" i="2" s="1"/>
  <c r="AE292" i="2"/>
  <c r="AD292" i="2"/>
  <c r="X316" i="2" a="1"/>
  <c r="X316" i="2" s="1"/>
  <c r="Y316" i="2"/>
  <c r="Z316" i="2" s="1"/>
  <c r="AD316" i="2"/>
  <c r="AE316" i="2"/>
  <c r="Y459" i="2"/>
  <c r="Z459" i="2" s="1"/>
  <c r="X459" i="2" a="1"/>
  <c r="X459" i="2" s="1"/>
  <c r="AE459" i="2"/>
  <c r="AD459" i="2"/>
  <c r="Y594" i="2"/>
  <c r="Z594" i="2" s="1"/>
  <c r="X594" i="2" a="1"/>
  <c r="X594" i="2" s="1"/>
  <c r="AD594" i="2"/>
  <c r="AE594" i="2"/>
  <c r="AF141" i="2"/>
  <c r="Y63" i="2"/>
  <c r="Z63" i="2" s="1"/>
  <c r="X63" i="2" a="1"/>
  <c r="X63" i="2" s="1"/>
  <c r="AE63" i="2"/>
  <c r="AD63" i="2"/>
  <c r="AF63" i="2" s="1"/>
  <c r="X153" i="2" a="1"/>
  <c r="X153" i="2" s="1"/>
  <c r="Y153" i="2"/>
  <c r="Z153" i="2" s="1"/>
  <c r="AE153" i="2"/>
  <c r="AD153" i="2"/>
  <c r="AF153" i="2" s="1"/>
  <c r="X278" i="2" a="1"/>
  <c r="X278" i="2" s="1"/>
  <c r="Y278" i="2"/>
  <c r="Z278" i="2" s="1"/>
  <c r="AE278" i="2"/>
  <c r="AD278" i="2"/>
  <c r="AF278" i="2" s="1"/>
  <c r="AF423" i="2"/>
  <c r="X613" i="2" a="1"/>
  <c r="X613" i="2" s="1"/>
  <c r="Y613" i="2"/>
  <c r="Z613" i="2" s="1"/>
  <c r="AE613" i="2"/>
  <c r="AD613" i="2"/>
  <c r="Y712" i="2"/>
  <c r="Z712" i="2" s="1"/>
  <c r="X712" i="2" a="1"/>
  <c r="X712" i="2" s="1"/>
  <c r="AD712" i="2"/>
  <c r="AE712" i="2"/>
  <c r="Y392" i="2"/>
  <c r="Z392" i="2" s="1"/>
  <c r="X392" i="2" a="1"/>
  <c r="X392" i="2" s="1"/>
  <c r="AD392" i="2"/>
  <c r="AF392" i="2" s="1"/>
  <c r="AE392" i="2"/>
  <c r="X413" i="2" a="1"/>
  <c r="X413" i="2" s="1"/>
  <c r="Y413" i="2"/>
  <c r="Z413" i="2" s="1"/>
  <c r="AE413" i="2"/>
  <c r="AD413" i="2"/>
  <c r="X584" i="2" a="1"/>
  <c r="X584" i="2" s="1"/>
  <c r="Y584" i="2"/>
  <c r="Z584" i="2" s="1"/>
  <c r="AE584" i="2"/>
  <c r="AD584" i="2"/>
  <c r="AF539" i="2"/>
  <c r="Y67" i="2"/>
  <c r="Z67" i="2" s="1"/>
  <c r="X67" i="2" a="1"/>
  <c r="X67" i="2" s="1"/>
  <c r="AD67" i="2"/>
  <c r="AE67" i="2"/>
  <c r="Y71" i="2"/>
  <c r="Z71" i="2" s="1"/>
  <c r="X71" i="2" a="1"/>
  <c r="X71" i="2" s="1"/>
  <c r="AE71" i="2"/>
  <c r="AD71" i="2"/>
  <c r="X237" i="2" a="1"/>
  <c r="X237" i="2" s="1"/>
  <c r="Y237" i="2"/>
  <c r="Z237" i="2" s="1"/>
  <c r="AE237" i="2"/>
  <c r="AD237" i="2"/>
  <c r="X342" i="2" a="1"/>
  <c r="X342" i="2" s="1"/>
  <c r="Y342" i="2"/>
  <c r="Z342" i="2" s="1"/>
  <c r="AE342" i="2"/>
  <c r="AD342" i="2"/>
  <c r="X361" i="2" a="1"/>
  <c r="X361" i="2" s="1"/>
  <c r="Y361" i="2"/>
  <c r="Z361" i="2" s="1"/>
  <c r="AE361" i="2"/>
  <c r="AD361" i="2"/>
  <c r="X657" i="2" a="1"/>
  <c r="X657" i="2" s="1"/>
  <c r="Y657" i="2"/>
  <c r="Z657" i="2" s="1"/>
  <c r="AD657" i="2"/>
  <c r="AE657" i="2"/>
  <c r="Y738" i="2"/>
  <c r="Z738" i="2" s="1"/>
  <c r="X738" i="2" a="1"/>
  <c r="X738" i="2" s="1"/>
  <c r="AE738" i="2"/>
  <c r="AD738" i="2"/>
  <c r="AF583" i="2"/>
  <c r="AF750" i="2"/>
  <c r="Y39" i="2"/>
  <c r="Z39" i="2" s="1"/>
  <c r="X39" i="2" a="1"/>
  <c r="X39" i="2" s="1"/>
  <c r="AE39" i="2"/>
  <c r="AD39" i="2"/>
  <c r="AF39" i="2" s="1"/>
  <c r="X45" i="2" a="1"/>
  <c r="X45" i="2" s="1"/>
  <c r="Y45" i="2"/>
  <c r="Z45" i="2" s="1"/>
  <c r="AD45" i="2"/>
  <c r="AE45" i="2"/>
  <c r="AF679" i="2"/>
  <c r="Y259" i="2"/>
  <c r="Z259" i="2" s="1"/>
  <c r="X259" i="2" a="1"/>
  <c r="X259" i="2" s="1"/>
  <c r="AD259" i="2"/>
  <c r="AE259" i="2"/>
  <c r="Y260" i="2"/>
  <c r="Z260" i="2" s="1"/>
  <c r="X260" i="2" a="1"/>
  <c r="X260" i="2" s="1"/>
  <c r="AE260" i="2"/>
  <c r="AD260" i="2"/>
  <c r="X465" i="2" a="1"/>
  <c r="X465" i="2" s="1"/>
  <c r="Y465" i="2"/>
  <c r="Z465" i="2" s="1"/>
  <c r="AD465" i="2"/>
  <c r="AE465" i="2"/>
  <c r="X33" i="2" a="1"/>
  <c r="X33" i="2" s="1"/>
  <c r="Y33" i="2"/>
  <c r="Z33" i="2" s="1"/>
  <c r="AE33" i="2"/>
  <c r="AD33" i="2"/>
  <c r="AF424" i="2"/>
  <c r="X389" i="2" a="1"/>
  <c r="X389" i="2" s="1"/>
  <c r="Y389" i="2"/>
  <c r="Z389" i="2" s="1"/>
  <c r="AE389" i="2"/>
  <c r="AD389" i="2"/>
  <c r="X473" i="2" a="1"/>
  <c r="X473" i="2" s="1"/>
  <c r="Y473" i="2"/>
  <c r="Z473" i="2" s="1"/>
  <c r="AD473" i="2"/>
  <c r="AE473" i="2"/>
  <c r="X655" i="2" a="1"/>
  <c r="X655" i="2" s="1"/>
  <c r="Y655" i="2"/>
  <c r="Z655" i="2" s="1"/>
  <c r="AD655" i="2"/>
  <c r="AE655" i="2"/>
  <c r="X53" i="2" a="1"/>
  <c r="X53" i="2" s="1"/>
  <c r="Y53" i="2"/>
  <c r="Z53" i="2" s="1"/>
  <c r="AD53" i="2"/>
  <c r="AE53" i="2"/>
  <c r="X288" i="2" a="1"/>
  <c r="X288" i="2" s="1"/>
  <c r="Y288" i="2"/>
  <c r="Z288" i="2" s="1"/>
  <c r="AD288" i="2"/>
  <c r="AE288" i="2"/>
  <c r="X354" i="2" a="1"/>
  <c r="X354" i="2" s="1"/>
  <c r="Y354" i="2"/>
  <c r="Z354" i="2" s="1"/>
  <c r="AD354" i="2"/>
  <c r="AE354" i="2"/>
  <c r="X554" i="2" a="1"/>
  <c r="X554" i="2" s="1"/>
  <c r="Y554" i="2"/>
  <c r="Z554" i="2" s="1"/>
  <c r="AD554" i="2"/>
  <c r="AE554" i="2"/>
  <c r="X245" i="2" a="1"/>
  <c r="X245" i="2" s="1"/>
  <c r="Y245" i="2"/>
  <c r="Z245" i="2" s="1"/>
  <c r="AE245" i="2"/>
  <c r="AD245" i="2"/>
  <c r="X367" i="2" a="1"/>
  <c r="X367" i="2" s="1"/>
  <c r="Y367" i="2"/>
  <c r="Z367" i="2" s="1"/>
  <c r="AD367" i="2"/>
  <c r="AE367" i="2"/>
  <c r="X542" i="2" a="1"/>
  <c r="X542" i="2" s="1"/>
  <c r="Y542" i="2"/>
  <c r="Z542" i="2" s="1"/>
  <c r="AD542" i="2"/>
  <c r="AE542" i="2"/>
  <c r="AF248" i="2"/>
  <c r="AF55" i="2"/>
  <c r="AF62" i="2"/>
  <c r="X302" i="2" a="1"/>
  <c r="X302" i="2" s="1"/>
  <c r="Y302" i="2"/>
  <c r="Z302" i="2" s="1"/>
  <c r="AD302" i="2"/>
  <c r="AF302" i="2" s="1"/>
  <c r="AE302" i="2"/>
  <c r="Y593" i="2"/>
  <c r="Z593" i="2" s="1"/>
  <c r="X593" i="2" a="1"/>
  <c r="X593" i="2" s="1"/>
  <c r="AE593" i="2"/>
  <c r="AD593" i="2"/>
  <c r="AF684" i="2"/>
  <c r="Y341" i="2"/>
  <c r="Z341" i="2" s="1"/>
  <c r="X341" i="2" a="1"/>
  <c r="X341" i="2" s="1"/>
  <c r="AD341" i="2"/>
  <c r="AE341" i="2"/>
  <c r="X395" i="2" a="1"/>
  <c r="X395" i="2" s="1"/>
  <c r="Y395" i="2"/>
  <c r="Z395" i="2" s="1"/>
  <c r="AD395" i="2"/>
  <c r="AE395" i="2"/>
  <c r="X371" i="2" a="1"/>
  <c r="X371" i="2" s="1"/>
  <c r="Y371" i="2"/>
  <c r="Z371" i="2" s="1"/>
  <c r="AE371" i="2"/>
  <c r="AD371" i="2"/>
  <c r="X512" i="2" a="1"/>
  <c r="X512" i="2" s="1"/>
  <c r="Y512" i="2"/>
  <c r="Z512" i="2" s="1"/>
  <c r="AD512" i="2"/>
  <c r="AE512" i="2"/>
  <c r="X93" i="2" a="1"/>
  <c r="X93" i="2" s="1"/>
  <c r="Y93" i="2"/>
  <c r="Z93" i="2" s="1"/>
  <c r="AE93" i="2"/>
  <c r="AD93" i="2"/>
  <c r="AF300" i="2"/>
  <c r="Y223" i="2"/>
  <c r="Z223" i="2" s="1"/>
  <c r="X223" i="2" a="1"/>
  <c r="X223" i="2" s="1"/>
  <c r="AD223" i="2"/>
  <c r="AE223" i="2"/>
  <c r="Y207" i="2"/>
  <c r="Z207" i="2" s="1"/>
  <c r="X207" i="2" a="1"/>
  <c r="X207" i="2" s="1"/>
  <c r="AE207" i="2"/>
  <c r="AD207" i="2"/>
  <c r="Y275" i="2"/>
  <c r="Z275" i="2" s="1"/>
  <c r="X275" i="2" a="1"/>
  <c r="X275" i="2" s="1"/>
  <c r="AD275" i="2"/>
  <c r="AE275" i="2"/>
  <c r="X11" i="2" a="1"/>
  <c r="X11" i="2" s="1"/>
  <c r="Y11" i="2"/>
  <c r="Z11" i="2" s="1"/>
  <c r="AD11" i="2"/>
  <c r="AE11" i="2"/>
  <c r="X65" i="2" a="1"/>
  <c r="X65" i="2" s="1"/>
  <c r="Y65" i="2"/>
  <c r="Z65" i="2" s="1"/>
  <c r="AE65" i="2"/>
  <c r="AD65" i="2"/>
  <c r="X405" i="2" a="1"/>
  <c r="X405" i="2" s="1"/>
  <c r="Y405" i="2"/>
  <c r="Z405" i="2" s="1"/>
  <c r="AD405" i="2"/>
  <c r="AE405" i="2"/>
  <c r="AF644" i="2"/>
  <c r="X419" i="2" a="1"/>
  <c r="X419" i="2" s="1"/>
  <c r="Y419" i="2"/>
  <c r="Z419" i="2" s="1"/>
  <c r="AE419" i="2"/>
  <c r="AD419" i="2"/>
  <c r="AF419" i="2" s="1"/>
  <c r="X538" i="2" a="1"/>
  <c r="X538" i="2" s="1"/>
  <c r="Y538" i="2"/>
  <c r="Z538" i="2" s="1"/>
  <c r="AE538" i="2"/>
  <c r="AD538" i="2"/>
  <c r="AF538" i="2" s="1"/>
  <c r="Y181" i="2"/>
  <c r="Z181" i="2" s="1"/>
  <c r="X181" i="2" a="1"/>
  <c r="X181" i="2" s="1"/>
  <c r="AE181" i="2"/>
  <c r="AD181" i="2"/>
  <c r="AF181" i="2" s="1"/>
  <c r="AF614" i="2"/>
  <c r="AF197" i="2"/>
  <c r="AF366" i="2"/>
  <c r="AF173" i="2"/>
  <c r="X249" i="2" a="1"/>
  <c r="X249" i="2" s="1"/>
  <c r="Y249" i="2"/>
  <c r="Z249" i="2" s="1"/>
  <c r="AE249" i="2"/>
  <c r="AD249" i="2"/>
  <c r="AF249" i="2" s="1"/>
  <c r="X318" i="2" a="1"/>
  <c r="X318" i="2" s="1"/>
  <c r="Y318" i="2"/>
  <c r="Z318" i="2" s="1"/>
  <c r="AD318" i="2"/>
  <c r="AE318" i="2"/>
  <c r="X753" i="2" a="1"/>
  <c r="X753" i="2" s="1"/>
  <c r="Y753" i="2"/>
  <c r="Z753" i="2" s="1"/>
  <c r="AD753" i="2"/>
  <c r="AE753" i="2"/>
  <c r="AF578" i="2"/>
  <c r="Y185" i="2"/>
  <c r="Z185" i="2" s="1"/>
  <c r="X185" i="2" a="1"/>
  <c r="X185" i="2" s="1"/>
  <c r="AD185" i="2"/>
  <c r="AE185" i="2"/>
  <c r="Y351" i="2"/>
  <c r="Z351" i="2" s="1"/>
  <c r="X351" i="2" a="1"/>
  <c r="X351" i="2" s="1"/>
  <c r="AE351" i="2"/>
  <c r="AD351" i="2"/>
  <c r="X477" i="2" a="1"/>
  <c r="X477" i="2" s="1"/>
  <c r="Y477" i="2"/>
  <c r="Z477" i="2" s="1"/>
  <c r="AE477" i="2"/>
  <c r="AD477" i="2"/>
  <c r="X550" i="2" a="1"/>
  <c r="X550" i="2" s="1"/>
  <c r="Y550" i="2"/>
  <c r="Z550" i="2" s="1"/>
  <c r="AD550" i="2"/>
  <c r="AF550" i="2" s="1"/>
  <c r="AE550" i="2"/>
  <c r="Y755" i="2"/>
  <c r="Z755" i="2" s="1"/>
  <c r="X755" i="2" a="1"/>
  <c r="X755" i="2" s="1"/>
  <c r="AE755" i="2"/>
  <c r="AD755" i="2"/>
  <c r="AF726" i="2"/>
  <c r="AF391" i="2"/>
  <c r="AF312" i="2"/>
  <c r="Y163" i="2"/>
  <c r="Z163" i="2" s="1"/>
  <c r="X163" i="2" a="1"/>
  <c r="X163" i="2" s="1"/>
  <c r="AD163" i="2"/>
  <c r="AE163" i="2"/>
  <c r="AF574" i="2"/>
  <c r="X233" i="2" a="1"/>
  <c r="X233" i="2" s="1"/>
  <c r="Y233" i="2"/>
  <c r="Z233" i="2" s="1"/>
  <c r="AE233" i="2"/>
  <c r="AD233" i="2"/>
  <c r="X304" i="2" a="1"/>
  <c r="X304" i="2" s="1"/>
  <c r="Y304" i="2"/>
  <c r="Z304" i="2" s="1"/>
  <c r="AE304" i="2"/>
  <c r="AD304" i="2"/>
  <c r="X411" i="2" a="1"/>
  <c r="X411" i="2" s="1"/>
  <c r="Y411" i="2"/>
  <c r="Z411" i="2" s="1"/>
  <c r="AD411" i="2"/>
  <c r="AE411" i="2"/>
  <c r="Y485" i="2"/>
  <c r="Z485" i="2" s="1"/>
  <c r="X485" i="2" a="1"/>
  <c r="X485" i="2" s="1"/>
  <c r="AD485" i="2"/>
  <c r="AE485" i="2"/>
  <c r="Y708" i="2"/>
  <c r="Z708" i="2" s="1"/>
  <c r="X708" i="2" a="1"/>
  <c r="X708" i="2" s="1"/>
  <c r="AE708" i="2"/>
  <c r="AD708" i="2"/>
  <c r="AF683" i="2"/>
  <c r="AF126" i="2"/>
  <c r="Y325" i="2"/>
  <c r="Z325" i="2" s="1"/>
  <c r="X325" i="2" a="1"/>
  <c r="X325" i="2" s="1"/>
  <c r="AD325" i="2"/>
  <c r="AE325" i="2"/>
  <c r="Y263" i="2"/>
  <c r="Z263" i="2" s="1"/>
  <c r="X263" i="2" a="1"/>
  <c r="X263" i="2" s="1"/>
  <c r="AE263" i="2"/>
  <c r="AD263" i="2"/>
  <c r="Y293" i="2"/>
  <c r="Z293" i="2" s="1"/>
  <c r="X293" i="2" a="1"/>
  <c r="X293" i="2" s="1"/>
  <c r="AD293" i="2"/>
  <c r="AE293" i="2"/>
  <c r="Y687" i="2"/>
  <c r="Z687" i="2" s="1"/>
  <c r="X687" i="2" a="1"/>
  <c r="X687" i="2" s="1"/>
  <c r="AE687" i="2"/>
  <c r="AD687" i="2"/>
  <c r="Y266" i="2"/>
  <c r="Z266" i="2" s="1"/>
  <c r="X266" i="2" a="1"/>
  <c r="X266" i="2" s="1"/>
  <c r="AD266" i="2"/>
  <c r="AE266" i="2"/>
  <c r="X129" i="2" a="1"/>
  <c r="X129" i="2" s="1"/>
  <c r="Y129" i="2"/>
  <c r="Z129" i="2" s="1"/>
  <c r="AE129" i="2"/>
  <c r="AD129" i="2"/>
  <c r="AF409" i="2"/>
  <c r="X229" i="2" a="1"/>
  <c r="X229" i="2" s="1"/>
  <c r="Y229" i="2"/>
  <c r="Z229" i="2" s="1"/>
  <c r="AD229" i="2"/>
  <c r="AE229" i="2"/>
  <c r="Y629" i="2"/>
  <c r="Z629" i="2" s="1"/>
  <c r="X629" i="2" a="1"/>
  <c r="X629" i="2" s="1"/>
  <c r="AE629" i="2"/>
  <c r="AD629" i="2"/>
  <c r="AF629" i="2" s="1"/>
  <c r="X746" i="2" a="1"/>
  <c r="X746" i="2" s="1"/>
  <c r="Y746" i="2"/>
  <c r="Z746" i="2" s="1"/>
  <c r="AE746" i="2"/>
  <c r="AD746" i="2"/>
  <c r="AF746" i="2" s="1"/>
  <c r="Y231" i="2"/>
  <c r="Z231" i="2" s="1"/>
  <c r="X231" i="2" a="1"/>
  <c r="X231" i="2" s="1"/>
  <c r="AD231" i="2"/>
  <c r="AE231" i="2"/>
  <c r="Y264" i="2"/>
  <c r="Z264" i="2" s="1"/>
  <c r="X264" i="2" a="1"/>
  <c r="X264" i="2" s="1"/>
  <c r="AD264" i="2"/>
  <c r="AE264" i="2"/>
  <c r="X363" i="2" a="1"/>
  <c r="X363" i="2" s="1"/>
  <c r="Y363" i="2"/>
  <c r="Z363" i="2" s="1"/>
  <c r="AD363" i="2"/>
  <c r="AE363" i="2"/>
  <c r="X570" i="2" a="1"/>
  <c r="X570" i="2" s="1"/>
  <c r="Y570" i="2"/>
  <c r="Z570" i="2" s="1"/>
  <c r="AD570" i="2"/>
  <c r="AE570" i="2"/>
  <c r="AF604" i="2"/>
  <c r="X216" i="2" a="1"/>
  <c r="X216" i="2" s="1"/>
  <c r="Y216" i="2"/>
  <c r="Z216" i="2" s="1"/>
  <c r="AE216" i="2"/>
  <c r="AD216" i="2"/>
  <c r="Y227" i="2"/>
  <c r="Z227" i="2" s="1"/>
  <c r="X227" i="2" a="1"/>
  <c r="X227" i="2" s="1"/>
  <c r="AE227" i="2"/>
  <c r="AD227" i="2"/>
  <c r="Y692" i="2"/>
  <c r="Z692" i="2" s="1"/>
  <c r="X692" i="2" a="1"/>
  <c r="X692" i="2" s="1"/>
  <c r="AE692" i="2"/>
  <c r="AD692" i="2"/>
  <c r="Y771" i="2"/>
  <c r="Z771" i="2" s="1"/>
  <c r="X771" i="2" a="1"/>
  <c r="X771" i="2" s="1"/>
  <c r="AE771" i="2"/>
  <c r="AD771" i="2"/>
  <c r="AF557" i="2"/>
  <c r="X121" i="2" a="1"/>
  <c r="X121" i="2" s="1"/>
  <c r="Y121" i="2"/>
  <c r="Z121" i="2" s="1"/>
  <c r="AD121" i="2"/>
  <c r="AE121" i="2"/>
  <c r="AF217" i="2"/>
  <c r="X177" i="2" a="1"/>
  <c r="X177" i="2" s="1"/>
  <c r="Y177" i="2"/>
  <c r="Z177" i="2" s="1"/>
  <c r="AE177" i="2"/>
  <c r="AD177" i="2"/>
  <c r="Y612" i="2"/>
  <c r="Z612" i="2" s="1"/>
  <c r="X612" i="2" a="1"/>
  <c r="X612" i="2" s="1"/>
  <c r="AD612" i="2"/>
  <c r="AE612" i="2"/>
  <c r="Y699" i="2"/>
  <c r="Z699" i="2" s="1"/>
  <c r="X699" i="2" a="1"/>
  <c r="X699" i="2" s="1"/>
  <c r="AD699" i="2"/>
  <c r="AE699" i="2"/>
  <c r="Y267" i="2"/>
  <c r="Z267" i="2" s="1"/>
  <c r="X267" i="2" a="1"/>
  <c r="X267" i="2" s="1"/>
  <c r="AE267" i="2"/>
  <c r="AD267" i="2"/>
  <c r="AF285" i="2"/>
  <c r="Y455" i="2"/>
  <c r="Z455" i="2" s="1"/>
  <c r="X455" i="2" a="1"/>
  <c r="X455" i="2" s="1"/>
  <c r="AE455" i="2"/>
  <c r="AD455" i="2"/>
  <c r="AF455" i="2" s="1"/>
  <c r="AF198" i="2"/>
  <c r="AF314" i="2"/>
  <c r="Y51" i="2"/>
  <c r="Z51" i="2" s="1"/>
  <c r="X51" i="2" a="1"/>
  <c r="X51" i="2" s="1"/>
  <c r="AD51" i="2"/>
  <c r="AE51" i="2"/>
  <c r="X221" i="2" a="1"/>
  <c r="X221" i="2" s="1"/>
  <c r="Y221" i="2"/>
  <c r="Z221" i="2" s="1"/>
  <c r="AD221" i="2"/>
  <c r="AE221" i="2"/>
  <c r="X296" i="2" a="1"/>
  <c r="X296" i="2" s="1"/>
  <c r="Y296" i="2"/>
  <c r="Z296" i="2" s="1"/>
  <c r="AE296" i="2"/>
  <c r="AD296" i="2"/>
  <c r="Y515" i="2"/>
  <c r="Z515" i="2" s="1"/>
  <c r="X515" i="2" a="1"/>
  <c r="X515" i="2" s="1"/>
  <c r="AD515" i="2"/>
  <c r="AE515" i="2"/>
  <c r="Y730" i="2"/>
  <c r="Z730" i="2" s="1"/>
  <c r="X730" i="2" a="1"/>
  <c r="X730" i="2" s="1"/>
  <c r="AD730" i="2"/>
  <c r="AE730" i="2"/>
  <c r="AF204" i="2"/>
  <c r="X113" i="2" a="1"/>
  <c r="X113" i="2" s="1"/>
  <c r="Y113" i="2"/>
  <c r="Z113" i="2" s="1"/>
  <c r="AD113" i="2"/>
  <c r="AE113" i="2"/>
  <c r="Y270" i="2"/>
  <c r="Z270" i="2" s="1"/>
  <c r="X270" i="2" a="1"/>
  <c r="X270" i="2" s="1"/>
  <c r="AD270" i="2"/>
  <c r="AE270" i="2"/>
  <c r="X407" i="2" a="1"/>
  <c r="X407" i="2" s="1"/>
  <c r="Y407" i="2"/>
  <c r="Z407" i="2" s="1"/>
  <c r="AE407" i="2"/>
  <c r="AD407" i="2"/>
  <c r="X484" i="2" a="1"/>
  <c r="X484" i="2" s="1"/>
  <c r="Y484" i="2"/>
  <c r="Z484" i="2" s="1"/>
  <c r="AE484" i="2"/>
  <c r="AD484" i="2"/>
  <c r="AF199" i="2"/>
  <c r="Y190" i="2"/>
  <c r="Z190" i="2" s="1"/>
  <c r="X190" i="2" a="1"/>
  <c r="X190" i="2" s="1"/>
  <c r="AD190" i="2"/>
  <c r="AE190" i="2"/>
  <c r="AF102" i="2"/>
  <c r="AF730" i="2" l="1"/>
  <c r="AF51" i="2"/>
  <c r="AF341" i="2"/>
  <c r="AF542" i="2"/>
  <c r="AF354" i="2"/>
  <c r="AF53" i="2"/>
  <c r="AF473" i="2"/>
  <c r="AF657" i="2"/>
  <c r="AF89" i="2"/>
  <c r="AF677" i="2"/>
  <c r="AF721" i="2"/>
  <c r="AF195" i="2"/>
  <c r="AF484" i="2"/>
  <c r="AF177" i="2"/>
  <c r="AF109" i="2"/>
  <c r="AF79" i="2"/>
  <c r="AF407" i="2"/>
  <c r="AF267" i="2"/>
  <c r="AF65" i="2"/>
  <c r="AF346" i="2"/>
  <c r="AF171" i="2"/>
  <c r="AF187" i="2"/>
  <c r="AF69" i="2"/>
  <c r="AF397" i="2"/>
  <c r="AF515" i="2"/>
  <c r="AF221" i="2"/>
  <c r="AF121" i="2"/>
  <c r="AF692" i="2"/>
  <c r="AF216" i="2"/>
  <c r="AF304" i="2"/>
  <c r="AF755" i="2"/>
  <c r="AF477" i="2"/>
  <c r="AF512" i="2"/>
  <c r="AF395" i="2"/>
  <c r="AF593" i="2"/>
  <c r="AF367" i="2"/>
  <c r="AF554" i="2"/>
  <c r="AF288" i="2"/>
  <c r="AF655" i="2"/>
  <c r="AF67" i="2"/>
  <c r="AF413" i="2"/>
  <c r="AF359" i="2"/>
  <c r="AF702" i="2"/>
  <c r="AF73" i="2"/>
  <c r="AF588" i="2"/>
  <c r="AF643" i="2"/>
  <c r="AF405" i="2"/>
  <c r="AF11" i="2"/>
  <c r="AF81" i="2"/>
  <c r="AF219" i="2"/>
  <c r="AF771" i="2"/>
  <c r="AF227" i="2"/>
  <c r="AF708" i="2"/>
  <c r="AF149" i="2"/>
  <c r="AF206" i="2"/>
  <c r="AF45" i="2"/>
  <c r="AF47" i="2"/>
  <c r="AF145" i="2"/>
  <c r="AF113" i="2"/>
  <c r="AF612" i="2"/>
  <c r="AF266" i="2"/>
  <c r="AF293" i="2"/>
  <c r="AF325" i="2"/>
  <c r="AF275" i="2"/>
  <c r="AF223" i="2"/>
  <c r="AF389" i="2"/>
  <c r="AF738" i="2"/>
  <c r="AF361" i="2"/>
  <c r="AF237" i="2"/>
  <c r="AF594" i="2"/>
  <c r="AF316" i="2"/>
  <c r="AF710" i="2"/>
  <c r="AF41" i="2"/>
  <c r="AF190" i="2"/>
  <c r="AF298" i="2"/>
  <c r="AF264" i="2"/>
  <c r="AF485" i="2"/>
  <c r="AF185" i="2"/>
  <c r="AF465" i="2"/>
  <c r="AF259" i="2"/>
  <c r="AF712" i="2"/>
  <c r="AF328" i="2"/>
  <c r="AF621" i="2"/>
  <c r="AF411" i="2"/>
  <c r="AF363" i="2"/>
  <c r="AF231" i="2"/>
  <c r="AF129" i="2"/>
  <c r="AF687" i="2"/>
  <c r="AF263" i="2"/>
  <c r="AF163" i="2"/>
  <c r="AF318" i="2"/>
  <c r="AF207" i="2"/>
  <c r="AF459" i="2"/>
  <c r="AF292" i="2"/>
  <c r="AF338" i="2"/>
  <c r="AF271" i="2"/>
  <c r="AF75" i="2"/>
  <c r="AF77" i="2"/>
  <c r="AF265" i="2"/>
  <c r="AF697" i="2"/>
  <c r="AF570" i="2"/>
  <c r="AF229" i="2"/>
  <c r="AF753" i="2"/>
  <c r="AF467" i="2"/>
  <c r="AF270" i="2"/>
  <c r="AF296" i="2"/>
  <c r="AF699" i="2"/>
  <c r="AF93" i="2"/>
  <c r="AF371" i="2"/>
  <c r="AF245" i="2"/>
  <c r="AF342" i="2"/>
  <c r="AF71" i="2"/>
  <c r="AF233" i="2"/>
  <c r="AF351" i="2"/>
  <c r="AF33" i="2"/>
  <c r="AF260" i="2"/>
  <c r="AF584" i="2"/>
  <c r="AF613" i="2"/>
  <c r="AF602" i="2"/>
  <c r="AF261" i="2"/>
  <c r="M8" i="1" l="1"/>
  <c r="M22" i="1"/>
  <c r="M27" i="1"/>
  <c r="M10" i="1"/>
  <c r="M36" i="1"/>
  <c r="M11" i="1"/>
  <c r="M6" i="1"/>
  <c r="M37" i="1"/>
  <c r="M30" i="1"/>
  <c r="M7" i="1"/>
  <c r="M34" i="1"/>
  <c r="M2" i="1"/>
  <c r="M26" i="1"/>
  <c r="M33" i="1"/>
  <c r="M4" i="1"/>
  <c r="M23" i="1"/>
  <c r="M18" i="1"/>
  <c r="M31" i="1"/>
  <c r="M3" i="1"/>
  <c r="M5" i="1"/>
  <c r="M25" i="1"/>
  <c r="M16" i="1"/>
  <c r="M21" i="1"/>
  <c r="M32" i="1"/>
  <c r="M19" i="1"/>
  <c r="M15" i="1"/>
  <c r="M24" i="1"/>
  <c r="M17" i="1"/>
  <c r="M29" i="1"/>
  <c r="M20" i="1"/>
  <c r="M14" i="1"/>
  <c r="M28" i="1"/>
  <c r="M13" i="1"/>
  <c r="M9" i="1"/>
  <c r="M12" i="1"/>
  <c r="M35" i="1"/>
  <c r="AA4" i="2" l="1"/>
  <c r="AB4" i="2" s="1"/>
  <c r="AC4" i="2" s="1"/>
  <c r="AA150" i="2"/>
  <c r="AB150" i="2" s="1"/>
  <c r="AC150" i="2" s="1"/>
  <c r="AA176" i="2"/>
  <c r="AB176" i="2" s="1"/>
  <c r="AC176" i="2" s="1"/>
  <c r="AA162" i="2"/>
  <c r="AB162" i="2" s="1"/>
  <c r="AC162" i="2" s="1"/>
  <c r="AA211" i="2"/>
  <c r="AB211" i="2" s="1"/>
  <c r="AC211" i="2" s="1"/>
  <c r="AA111" i="2"/>
  <c r="AB111" i="2" s="1"/>
  <c r="AC111" i="2" s="1"/>
  <c r="AA104" i="2"/>
  <c r="AB104" i="2" s="1"/>
  <c r="AC104" i="2" s="1"/>
  <c r="AA242" i="2"/>
  <c r="AB242" i="2" s="1"/>
  <c r="AC242" i="2" s="1"/>
  <c r="AA144" i="2"/>
  <c r="AB144" i="2" s="1"/>
  <c r="AC144" i="2" s="1"/>
  <c r="AA91" i="2"/>
  <c r="AB91" i="2" s="1"/>
  <c r="AC91" i="2" s="1"/>
  <c r="AA147" i="2"/>
  <c r="AB147" i="2" s="1"/>
  <c r="AC147" i="2" s="1"/>
  <c r="AA60" i="2"/>
  <c r="AB60" i="2" s="1"/>
  <c r="AC60" i="2" s="1"/>
  <c r="AA404" i="2"/>
  <c r="AB404" i="2" s="1"/>
  <c r="AC404" i="2" s="1"/>
  <c r="AA44" i="2"/>
  <c r="AB44" i="2" s="1"/>
  <c r="AC44" i="2" s="1"/>
  <c r="AA192" i="2"/>
  <c r="AB192" i="2" s="1"/>
  <c r="AC192" i="2" s="1"/>
  <c r="AA280" i="2"/>
  <c r="AB280" i="2" s="1"/>
  <c r="AC280" i="2" s="1"/>
  <c r="AA136" i="2"/>
  <c r="AB136" i="2" s="1"/>
  <c r="AC136" i="2" s="1"/>
  <c r="AA196" i="2"/>
  <c r="AB196" i="2" s="1"/>
  <c r="AC196" i="2" s="1"/>
  <c r="AA135" i="2"/>
  <c r="AB135" i="2" s="1"/>
  <c r="AC135" i="2" s="1"/>
  <c r="AA100" i="2"/>
  <c r="AB100" i="2" s="1"/>
  <c r="AC100" i="2" s="1"/>
  <c r="AA186" i="2"/>
  <c r="AB186" i="2" s="1"/>
  <c r="AC186" i="2" s="1"/>
  <c r="AA92" i="2"/>
  <c r="AB92" i="2" s="1"/>
  <c r="AC92" i="2" s="1"/>
  <c r="AA146" i="2"/>
  <c r="AB146" i="2" s="1"/>
  <c r="AC146" i="2" s="1"/>
  <c r="AA96" i="2"/>
  <c r="AB96" i="2" s="1"/>
  <c r="AC96" i="2" s="1"/>
  <c r="AA161" i="2"/>
  <c r="AB161" i="2" s="1"/>
  <c r="AC161" i="2" s="1"/>
  <c r="AA116" i="2"/>
  <c r="AB116" i="2" s="1"/>
  <c r="AC116" i="2" s="1"/>
  <c r="AA108" i="2"/>
  <c r="AB108" i="2" s="1"/>
  <c r="AC108" i="2" s="1"/>
  <c r="AA72" i="2"/>
  <c r="AB72" i="2" s="1"/>
  <c r="AC72" i="2" s="1"/>
  <c r="AA175" i="2"/>
  <c r="AB175" i="2" s="1"/>
  <c r="AC175" i="2" s="1"/>
  <c r="AA84" i="2"/>
  <c r="AB84" i="2" s="1"/>
  <c r="AC84" i="2" s="1"/>
  <c r="AA179" i="2"/>
  <c r="AB179" i="2" s="1"/>
  <c r="AC179" i="2" s="1"/>
  <c r="AA68" i="2"/>
  <c r="AB68" i="2" s="1"/>
  <c r="AC68" i="2" s="1"/>
  <c r="AA36" i="2"/>
  <c r="AB36" i="2" s="1"/>
  <c r="AC36" i="2" s="1"/>
  <c r="AA76" i="2"/>
  <c r="AB76" i="2" s="1"/>
  <c r="AC76" i="2" s="1"/>
  <c r="AA120" i="2"/>
  <c r="AB120" i="2" s="1"/>
  <c r="AC120" i="2" s="1"/>
  <c r="AA182" i="2"/>
  <c r="AB182" i="2" s="1"/>
  <c r="AC182" i="2" s="1"/>
  <c r="AA40" i="2"/>
  <c r="AB40" i="2" s="1"/>
  <c r="AC40" i="2" s="1"/>
  <c r="AA123" i="2"/>
  <c r="AB123" i="2" s="1"/>
  <c r="AC123" i="2" s="1"/>
  <c r="AA295" i="2"/>
  <c r="AB295" i="2" s="1"/>
  <c r="AC295" i="2" s="1"/>
  <c r="AA178" i="2"/>
  <c r="AB178" i="2" s="1"/>
  <c r="AC178" i="2" s="1"/>
  <c r="AA168" i="2"/>
  <c r="AB168" i="2" s="1"/>
  <c r="AC168" i="2" s="1"/>
  <c r="AA52" i="2"/>
  <c r="AB52" i="2" s="1"/>
  <c r="AC52" i="2" s="1"/>
  <c r="AA291" i="2"/>
  <c r="AB291" i="2" s="1"/>
  <c r="AC291" i="2" s="1"/>
  <c r="AA64" i="2"/>
  <c r="AB64" i="2" s="1"/>
  <c r="AC64" i="2" s="1"/>
  <c r="AA56" i="2"/>
  <c r="AB56" i="2" s="1"/>
  <c r="AC56" i="2" s="1"/>
  <c r="AA151" i="2"/>
  <c r="AB151" i="2" s="1"/>
  <c r="AC151" i="2" s="1"/>
  <c r="AA139" i="2"/>
  <c r="AB139" i="2" s="1"/>
  <c r="AC139" i="2" s="1"/>
  <c r="AA28" i="2"/>
  <c r="AB28" i="2" s="1"/>
  <c r="AC28" i="2" s="1"/>
  <c r="AA164" i="2"/>
  <c r="AB164" i="2" s="1"/>
  <c r="AC164" i="2" s="1"/>
  <c r="AA140" i="2"/>
  <c r="AB140" i="2" s="1"/>
  <c r="AC140" i="2" s="1"/>
  <c r="AA102" i="2"/>
  <c r="AB102" i="2" s="1"/>
  <c r="AC102" i="2" s="1"/>
  <c r="AA99" i="2"/>
  <c r="AB99" i="2" s="1"/>
  <c r="AC99" i="2" s="1"/>
  <c r="AA137" i="2"/>
  <c r="AB137" i="2" s="1"/>
  <c r="AC137" i="2" s="1"/>
  <c r="AA103" i="2"/>
  <c r="AB103" i="2" s="1"/>
  <c r="AC103" i="2" s="1"/>
  <c r="AA90" i="2"/>
  <c r="AB90" i="2" s="1"/>
  <c r="AC90" i="2" s="1"/>
  <c r="AA95" i="2"/>
  <c r="AB95" i="2" s="1"/>
  <c r="AC95" i="2" s="1"/>
  <c r="AA78" i="2"/>
  <c r="AB78" i="2" s="1"/>
  <c r="AC78" i="2" s="1"/>
  <c r="AA46" i="2"/>
  <c r="AB46" i="2" s="1"/>
  <c r="AC46" i="2" s="1"/>
  <c r="AA94" i="2"/>
  <c r="AB94" i="2" s="1"/>
  <c r="AC94" i="2" s="1"/>
  <c r="AA262" i="2"/>
  <c r="AB262" i="2" s="1"/>
  <c r="AC262" i="2" s="1"/>
  <c r="AA57" i="2"/>
  <c r="AB57" i="2" s="1"/>
  <c r="AC57" i="2" s="1"/>
  <c r="AA257" i="2"/>
  <c r="AB257" i="2" s="1"/>
  <c r="AC257" i="2" s="1"/>
  <c r="AA97" i="2"/>
  <c r="AB97" i="2" s="1"/>
  <c r="AC97" i="2" s="1"/>
  <c r="AA85" i="2"/>
  <c r="AB85" i="2" s="1"/>
  <c r="AC85" i="2" s="1"/>
  <c r="AA29" i="2"/>
  <c r="AB29" i="2" s="1"/>
  <c r="AC29" i="2" s="1"/>
  <c r="AA79" i="2"/>
  <c r="AB79" i="2" s="1"/>
  <c r="AC79" i="2" s="1"/>
  <c r="AA55" i="2"/>
  <c r="AB55" i="2" s="1"/>
  <c r="AC55" i="2" s="1"/>
  <c r="AA138" i="2"/>
  <c r="AB138" i="2" s="1"/>
  <c r="AC138" i="2" s="1"/>
  <c r="AA157" i="2"/>
  <c r="AB157" i="2" s="1"/>
  <c r="AC157" i="2" s="1"/>
  <c r="AA34" i="2"/>
  <c r="AB34" i="2" s="1"/>
  <c r="AC34" i="2" s="1"/>
  <c r="AA42" i="2"/>
  <c r="AB42" i="2" s="1"/>
  <c r="AC42" i="2" s="1"/>
  <c r="AA62" i="2"/>
  <c r="AB62" i="2" s="1"/>
  <c r="AC62" i="2" s="1"/>
  <c r="AA143" i="2"/>
  <c r="AB143" i="2" s="1"/>
  <c r="AC143" i="2" s="1"/>
  <c r="AA101" i="2"/>
  <c r="AB101" i="2" s="1"/>
  <c r="AC101" i="2" s="1"/>
  <c r="AA86" i="2"/>
  <c r="AB86" i="2" s="1"/>
  <c r="AC86" i="2" s="1"/>
  <c r="AA117" i="2"/>
  <c r="AB117" i="2" s="1"/>
  <c r="AC117" i="2" s="1"/>
  <c r="AA89" i="2"/>
  <c r="AB89" i="2" s="1"/>
  <c r="AC89" i="2" s="1"/>
  <c r="AA80" i="2"/>
  <c r="AB80" i="2" s="1"/>
  <c r="AC80" i="2" s="1"/>
  <c r="AA142" i="2"/>
  <c r="AB142" i="2" s="1"/>
  <c r="AC142" i="2" s="1"/>
  <c r="AA54" i="2"/>
  <c r="AB54" i="2" s="1"/>
  <c r="AC54" i="2" s="1"/>
  <c r="AA197" i="2"/>
  <c r="AB197" i="2" s="1"/>
  <c r="AC197" i="2" s="1"/>
  <c r="AA38" i="2"/>
  <c r="AB38" i="2" s="1"/>
  <c r="AC38" i="2" s="1"/>
  <c r="AA27" i="2"/>
  <c r="AB27" i="2" s="1"/>
  <c r="AC27" i="2" s="1"/>
  <c r="AA198" i="2"/>
  <c r="AB198" i="2" s="1"/>
  <c r="AC198" i="2" s="1"/>
  <c r="AA112" i="2"/>
  <c r="AB112" i="2" s="1"/>
  <c r="AC112" i="2" s="1"/>
  <c r="AA83" i="2"/>
  <c r="AB83" i="2" s="1"/>
  <c r="AC83" i="2" s="1"/>
  <c r="AA66" i="2"/>
  <c r="AB66" i="2" s="1"/>
  <c r="AC66" i="2" s="1"/>
  <c r="AA105" i="2"/>
  <c r="AB105" i="2" s="1"/>
  <c r="AC105" i="2" s="1"/>
  <c r="AA61" i="2"/>
  <c r="AB61" i="2" s="1"/>
  <c r="AC61" i="2" s="1"/>
  <c r="AA115" i="2"/>
  <c r="AB115" i="2" s="1"/>
  <c r="AC115" i="2" s="1"/>
  <c r="AA127" i="2"/>
  <c r="AB127" i="2" s="1"/>
  <c r="AC127" i="2" s="1"/>
  <c r="AA74" i="2"/>
  <c r="AB74" i="2" s="1"/>
  <c r="AC74" i="2" s="1"/>
  <c r="AA50" i="2"/>
  <c r="AB50" i="2" s="1"/>
  <c r="AC50" i="2" s="1"/>
  <c r="AA98" i="2"/>
  <c r="AB98" i="2" s="1"/>
  <c r="AC98" i="2" s="1"/>
  <c r="AA118" i="2"/>
  <c r="AB118" i="2" s="1"/>
  <c r="AC118" i="2" s="1"/>
  <c r="AA109" i="2"/>
  <c r="AB109" i="2" s="1"/>
  <c r="AC109" i="2" s="1"/>
  <c r="AA49" i="2"/>
  <c r="AB49" i="2" s="1"/>
  <c r="AC49" i="2" s="1"/>
  <c r="AA122" i="2"/>
  <c r="AB122" i="2" s="1"/>
  <c r="AC122" i="2" s="1"/>
  <c r="AA131" i="2"/>
  <c r="AB131" i="2" s="1"/>
  <c r="AC131" i="2" s="1"/>
  <c r="AA244" i="2"/>
  <c r="AB244" i="2" s="1"/>
  <c r="AC244" i="2" s="1"/>
  <c r="AA247" i="2"/>
  <c r="AB247" i="2" s="1"/>
  <c r="AC247" i="2" s="1"/>
  <c r="AA125" i="2"/>
  <c r="AB125" i="2" s="1"/>
  <c r="AC125" i="2" s="1"/>
  <c r="AA132" i="2"/>
  <c r="AB132" i="2" s="1"/>
  <c r="AC132" i="2" s="1"/>
  <c r="AA159" i="2"/>
  <c r="AB159" i="2" s="1"/>
  <c r="AC159" i="2" s="1"/>
  <c r="AA365" i="2"/>
  <c r="AB365" i="2" s="1"/>
  <c r="AC365" i="2" s="1"/>
  <c r="AA35" i="2"/>
  <c r="AB35" i="2" s="1"/>
  <c r="AC35" i="2" s="1"/>
  <c r="AA141" i="2"/>
  <c r="AB141" i="2" s="1"/>
  <c r="AC141" i="2" s="1"/>
  <c r="AA258" i="2"/>
  <c r="AB258" i="2" s="1"/>
  <c r="AC258" i="2" s="1"/>
  <c r="AA58" i="2"/>
  <c r="AB58" i="2" s="1"/>
  <c r="AC58" i="2" s="1"/>
  <c r="AA59" i="2"/>
  <c r="AB59" i="2" s="1"/>
  <c r="AC59" i="2" s="1"/>
  <c r="AA73" i="2"/>
  <c r="AB73" i="2" s="1"/>
  <c r="AC73" i="2" s="1"/>
  <c r="AA199" i="2"/>
  <c r="AB199" i="2" s="1"/>
  <c r="AC199" i="2" s="1"/>
  <c r="AA26" i="2"/>
  <c r="AB26" i="2" s="1"/>
  <c r="AC26" i="2" s="1"/>
  <c r="AA87" i="2"/>
  <c r="AB87" i="2" s="1"/>
  <c r="AC87" i="2" s="1"/>
  <c r="AA43" i="2"/>
  <c r="AB43" i="2" s="1"/>
  <c r="AC43" i="2" s="1"/>
  <c r="AA130" i="2"/>
  <c r="AB130" i="2" s="1"/>
  <c r="AC130" i="2" s="1"/>
  <c r="AA203" i="2"/>
  <c r="AB203" i="2" s="1"/>
  <c r="AC203" i="2" s="1"/>
  <c r="AA119" i="2"/>
  <c r="AB119" i="2" s="1"/>
  <c r="AC119" i="2" s="1"/>
  <c r="AA189" i="2"/>
  <c r="AB189" i="2" s="1"/>
  <c r="AC189" i="2" s="1"/>
  <c r="AA188" i="2"/>
  <c r="AB188" i="2" s="1"/>
  <c r="AC188" i="2" s="1"/>
  <c r="AA193" i="2"/>
  <c r="AB193" i="2" s="1"/>
  <c r="AC193" i="2" s="1"/>
  <c r="AA148" i="2"/>
  <c r="AB148" i="2" s="1"/>
  <c r="AC148" i="2" s="1"/>
  <c r="AA82" i="2"/>
  <c r="AB82" i="2" s="1"/>
  <c r="AC82" i="2" s="1"/>
  <c r="AA30" i="2"/>
  <c r="AB30" i="2" s="1"/>
  <c r="AC30" i="2" s="1"/>
  <c r="AA286" i="2"/>
  <c r="AB286" i="2" s="1"/>
  <c r="AC286" i="2" s="1"/>
  <c r="AA69" i="2"/>
  <c r="AB69" i="2" s="1"/>
  <c r="AC69" i="2" s="1"/>
  <c r="AA270" i="2"/>
  <c r="AB270" i="2" s="1"/>
  <c r="AC270" i="2" s="1"/>
  <c r="AA318" i="2"/>
  <c r="AB318" i="2" s="1"/>
  <c r="AC318" i="2" s="1"/>
  <c r="AA185" i="2"/>
  <c r="AB185" i="2" s="1"/>
  <c r="AC185" i="2" s="1"/>
  <c r="AA45" i="2"/>
  <c r="AB45" i="2" s="1"/>
  <c r="AC45" i="2" s="1"/>
  <c r="AA145" i="2"/>
  <c r="AB145" i="2" s="1"/>
  <c r="AC145" i="2" s="1"/>
  <c r="AA71" i="2"/>
  <c r="AB71" i="2" s="1"/>
  <c r="AC71" i="2" s="1"/>
  <c r="AA47" i="2"/>
  <c r="AB47" i="2" s="1"/>
  <c r="AC47" i="2" s="1"/>
  <c r="AA177" i="2"/>
  <c r="AB177" i="2" s="1"/>
  <c r="AC177" i="2" s="1"/>
  <c r="AA63" i="2"/>
  <c r="AB63" i="2" s="1"/>
  <c r="AC63" i="2" s="1"/>
  <c r="AA51" i="2"/>
  <c r="AB51" i="2" s="1"/>
  <c r="AC51" i="2" s="1"/>
  <c r="AA129" i="2"/>
  <c r="AB129" i="2" s="1"/>
  <c r="AC129" i="2" s="1"/>
  <c r="AA293" i="2"/>
  <c r="AB293" i="2" s="1"/>
  <c r="AC293" i="2" s="1"/>
  <c r="AA153" i="2"/>
  <c r="AB153" i="2" s="1"/>
  <c r="AC153" i="2" s="1"/>
  <c r="AA67" i="2"/>
  <c r="AB67" i="2" s="1"/>
  <c r="AC67" i="2" s="1"/>
  <c r="AA93" i="2"/>
  <c r="AB93" i="2" s="1"/>
  <c r="AC93" i="2" s="1"/>
  <c r="AA296" i="2"/>
  <c r="AB296" i="2" s="1"/>
  <c r="AC296" i="2" s="1"/>
  <c r="AA33" i="2"/>
  <c r="AB33" i="2" s="1"/>
  <c r="AC33" i="2" s="1"/>
  <c r="AA367" i="2"/>
  <c r="AB367" i="2" s="1"/>
  <c r="AC367" i="2" s="1"/>
  <c r="AA325" i="2"/>
  <c r="AB325" i="2" s="1"/>
  <c r="AC325" i="2" s="1"/>
  <c r="AA190" i="2"/>
  <c r="AB190" i="2" s="1"/>
  <c r="AC190" i="2" s="1"/>
  <c r="AA133" i="2"/>
  <c r="AB133" i="2" s="1"/>
  <c r="AC133" i="2" s="1"/>
  <c r="AA219" i="2"/>
  <c r="AB219" i="2" s="1"/>
  <c r="AC219" i="2" s="1"/>
  <c r="AA171" i="2"/>
  <c r="AB171" i="2" s="1"/>
  <c r="AC171" i="2" s="1"/>
  <c r="AA264" i="2"/>
  <c r="AB264" i="2" s="1"/>
  <c r="AC264" i="2" s="1"/>
  <c r="AA278" i="2"/>
  <c r="AB278" i="2" s="1"/>
  <c r="AC278" i="2" s="1"/>
  <c r="AA41" i="2"/>
  <c r="AB41" i="2" s="1"/>
  <c r="AC41" i="2" s="1"/>
  <c r="AA75" i="2"/>
  <c r="AB75" i="2" s="1"/>
  <c r="AC75" i="2" s="1"/>
  <c r="AA81" i="2"/>
  <c r="AB81" i="2" s="1"/>
  <c r="AC81" i="2" s="1"/>
  <c r="AA245" i="2"/>
  <c r="AB245" i="2" s="1"/>
  <c r="AC245" i="2" s="1"/>
  <c r="AA113" i="2"/>
  <c r="AB113" i="2" s="1"/>
  <c r="AC113" i="2" s="1"/>
  <c r="AA39" i="2"/>
  <c r="AB39" i="2" s="1"/>
  <c r="AC39" i="2" s="1"/>
  <c r="AA233" i="2"/>
  <c r="AB233" i="2" s="1"/>
  <c r="AC233" i="2" s="1"/>
  <c r="AA261" i="2"/>
  <c r="AB261" i="2" s="1"/>
  <c r="AC261" i="2" s="1"/>
  <c r="AA187" i="2"/>
  <c r="AB187" i="2" s="1"/>
  <c r="AC187" i="2" s="1"/>
  <c r="AA53" i="2"/>
  <c r="AB53" i="2" s="1"/>
  <c r="AC53" i="2" s="1"/>
  <c r="AA229" i="2"/>
  <c r="AB229" i="2" s="1"/>
  <c r="AC229" i="2" s="1"/>
  <c r="AA65" i="2"/>
  <c r="AB65" i="2" s="1"/>
  <c r="AC65" i="2" s="1"/>
  <c r="AA566" i="2"/>
  <c r="AB566" i="2" s="1"/>
  <c r="AC566" i="2" s="1"/>
  <c r="AA646" i="2"/>
  <c r="AB646" i="2" s="1"/>
  <c r="AC646" i="2" s="1"/>
  <c r="AA603" i="2"/>
  <c r="AB603" i="2" s="1"/>
  <c r="AC603" i="2" s="1"/>
  <c r="AA713" i="2"/>
  <c r="AB713" i="2" s="1"/>
  <c r="AC713" i="2" s="1"/>
  <c r="AA736" i="2"/>
  <c r="AB736" i="2" s="1"/>
  <c r="AC736" i="2" s="1"/>
  <c r="AA590" i="2"/>
  <c r="AB590" i="2" s="1"/>
  <c r="AC590" i="2" s="1"/>
  <c r="AA597" i="2"/>
  <c r="AB597" i="2" s="1"/>
  <c r="AC597" i="2" s="1"/>
  <c r="AA386" i="2"/>
  <c r="AB386" i="2" s="1"/>
  <c r="AC386" i="2" s="1"/>
  <c r="AA364" i="2"/>
  <c r="AB364" i="2" s="1"/>
  <c r="AC364" i="2" s="1"/>
  <c r="AA134" i="2"/>
  <c r="AB134" i="2" s="1"/>
  <c r="AC134" i="2" s="1"/>
  <c r="AA529" i="2"/>
  <c r="AB529" i="2" s="1"/>
  <c r="AC529" i="2" s="1"/>
  <c r="AA160" i="2"/>
  <c r="AB160" i="2" s="1"/>
  <c r="AC160" i="2" s="1"/>
  <c r="AA548" i="2"/>
  <c r="AB548" i="2" s="1"/>
  <c r="AC548" i="2" s="1"/>
  <c r="AA370" i="2"/>
  <c r="AB370" i="2" s="1"/>
  <c r="AC370" i="2" s="1"/>
  <c r="AA551" i="2"/>
  <c r="AB551" i="2" s="1"/>
  <c r="AC551" i="2" s="1"/>
  <c r="AA369" i="2"/>
  <c r="AB369" i="2" s="1"/>
  <c r="AC369" i="2" s="1"/>
  <c r="AA711" i="2"/>
  <c r="AB711" i="2" s="1"/>
  <c r="AC711" i="2" s="1"/>
  <c r="AA706" i="2"/>
  <c r="AB706" i="2" s="1"/>
  <c r="AC706" i="2" s="1"/>
  <c r="AA398" i="2"/>
  <c r="AB398" i="2" s="1"/>
  <c r="AC398" i="2" s="1"/>
  <c r="AA380" i="2"/>
  <c r="AB380" i="2" s="1"/>
  <c r="AC380" i="2" s="1"/>
  <c r="AA737" i="2"/>
  <c r="AB737" i="2" s="1"/>
  <c r="AC737" i="2" s="1"/>
  <c r="AA608" i="2"/>
  <c r="AB608" i="2" s="1"/>
  <c r="AC608" i="2" s="1"/>
  <c r="AA645" i="2"/>
  <c r="AB645" i="2" s="1"/>
  <c r="AC645" i="2" s="1"/>
  <c r="AA634" i="2"/>
  <c r="AB634" i="2" s="1"/>
  <c r="AC634" i="2" s="1"/>
  <c r="AA206" i="2"/>
  <c r="AB206" i="2" s="1"/>
  <c r="AC206" i="2" s="1"/>
  <c r="AA619" i="2"/>
  <c r="AB619" i="2" s="1"/>
  <c r="AC619" i="2" s="1"/>
  <c r="AA747" i="2"/>
  <c r="AB747" i="2" s="1"/>
  <c r="AC747" i="2" s="1"/>
  <c r="AA251" i="2"/>
  <c r="AB251" i="2" s="1"/>
  <c r="AC251" i="2" s="1"/>
  <c r="AA701" i="2"/>
  <c r="AB701" i="2" s="1"/>
  <c r="AC701" i="2" s="1"/>
  <c r="AA638" i="2"/>
  <c r="AB638" i="2" s="1"/>
  <c r="AC638" i="2" s="1"/>
  <c r="AA279" i="2"/>
  <c r="AB279" i="2" s="1"/>
  <c r="AC279" i="2" s="1"/>
  <c r="AA556" i="2"/>
  <c r="AB556" i="2" s="1"/>
  <c r="AC556" i="2" s="1"/>
  <c r="AA416" i="2"/>
  <c r="AB416" i="2" s="1"/>
  <c r="AC416" i="2" s="1"/>
  <c r="AA183" i="2"/>
  <c r="AB183" i="2" s="1"/>
  <c r="AC183" i="2" s="1"/>
  <c r="AA620" i="2"/>
  <c r="AB620" i="2" s="1"/>
  <c r="AC620" i="2" s="1"/>
  <c r="AA432" i="2"/>
  <c r="AB432" i="2" s="1"/>
  <c r="AC432" i="2" s="1"/>
  <c r="AA170" i="2"/>
  <c r="AB170" i="2" s="1"/>
  <c r="AC170" i="2" s="1"/>
  <c r="AA633" i="2"/>
  <c r="AB633" i="2" s="1"/>
  <c r="AC633" i="2" s="1"/>
  <c r="AA402" i="2"/>
  <c r="AB402" i="2" s="1"/>
  <c r="AC402" i="2" s="1"/>
  <c r="AA731" i="2"/>
  <c r="AB731" i="2" s="1"/>
  <c r="AC731" i="2" s="1"/>
  <c r="AA521" i="2"/>
  <c r="AB521" i="2" s="1"/>
  <c r="AC521" i="2" s="1"/>
  <c r="AA307" i="2"/>
  <c r="AB307" i="2" s="1"/>
  <c r="AC307" i="2" s="1"/>
  <c r="AA517" i="2"/>
  <c r="AB517" i="2" s="1"/>
  <c r="AC517" i="2" s="1"/>
  <c r="AA757" i="2"/>
  <c r="AB757" i="2" s="1"/>
  <c r="AC757" i="2" s="1"/>
  <c r="AA339" i="2"/>
  <c r="AB339" i="2" s="1"/>
  <c r="AC339" i="2" s="1"/>
  <c r="AA756" i="2"/>
  <c r="AB756" i="2" s="1"/>
  <c r="AC756" i="2" s="1"/>
  <c r="AA632" i="2"/>
  <c r="AB632" i="2" s="1"/>
  <c r="AC632" i="2" s="1"/>
  <c r="AA440" i="2"/>
  <c r="AB440" i="2" s="1"/>
  <c r="AC440" i="2" s="1"/>
  <c r="AA323" i="2"/>
  <c r="AB323" i="2" s="1"/>
  <c r="AC323" i="2" s="1"/>
  <c r="AA541" i="2"/>
  <c r="AB541" i="2" s="1"/>
  <c r="AC541" i="2" s="1"/>
  <c r="AA315" i="2"/>
  <c r="AB315" i="2" s="1"/>
  <c r="AC315" i="2" s="1"/>
  <c r="AA678" i="2"/>
  <c r="AB678" i="2" s="1"/>
  <c r="AC678" i="2" s="1"/>
  <c r="AA735" i="2"/>
  <c r="AB735" i="2" s="1"/>
  <c r="AC735" i="2" s="1"/>
  <c r="AA335" i="2"/>
  <c r="AB335" i="2" s="1"/>
  <c r="AC335" i="2" s="1"/>
  <c r="AA673" i="2"/>
  <c r="AB673" i="2" s="1"/>
  <c r="AC673" i="2" s="1"/>
  <c r="AA589" i="2"/>
  <c r="AB589" i="2" s="1"/>
  <c r="AC589" i="2" s="1"/>
  <c r="AA559" i="2"/>
  <c r="AB559" i="2" s="1"/>
  <c r="AC559" i="2" s="1"/>
  <c r="AA422" i="2"/>
  <c r="AB422" i="2" s="1"/>
  <c r="AC422" i="2" s="1"/>
  <c r="AA676" i="2"/>
  <c r="AB676" i="2" s="1"/>
  <c r="AC676" i="2" s="1"/>
  <c r="AA166" i="2"/>
  <c r="AB166" i="2" s="1"/>
  <c r="AC166" i="2" s="1"/>
  <c r="AA643" i="2"/>
  <c r="AB643" i="2" s="1"/>
  <c r="AC643" i="2" s="1"/>
  <c r="AA520" i="2"/>
  <c r="AB520" i="2" s="1"/>
  <c r="AC520" i="2" s="1"/>
  <c r="AA751" i="2"/>
  <c r="AB751" i="2" s="1"/>
  <c r="AC751" i="2" s="1"/>
  <c r="AA527" i="2"/>
  <c r="AB527" i="2" s="1"/>
  <c r="AC527" i="2" s="1"/>
  <c r="AA311" i="2"/>
  <c r="AB311" i="2" s="1"/>
  <c r="AC311" i="2" s="1"/>
  <c r="AA718" i="2"/>
  <c r="AB718" i="2" s="1"/>
  <c r="AC718" i="2" s="1"/>
  <c r="AA561" i="2"/>
  <c r="AB561" i="2" s="1"/>
  <c r="AC561" i="2" s="1"/>
  <c r="AA426" i="2"/>
  <c r="AB426" i="2" s="1"/>
  <c r="AC426" i="2" s="1"/>
  <c r="AA356" i="2"/>
  <c r="AB356" i="2" s="1"/>
  <c r="AC356" i="2" s="1"/>
  <c r="AA650" i="2"/>
  <c r="AB650" i="2" s="1"/>
  <c r="AC650" i="2" s="1"/>
  <c r="AA496" i="2"/>
  <c r="AB496" i="2" s="1"/>
  <c r="AC496" i="2" s="1"/>
  <c r="AA215" i="2"/>
  <c r="AB215" i="2" s="1"/>
  <c r="AC215" i="2" s="1"/>
  <c r="AA343" i="2"/>
  <c r="AB343" i="2" s="1"/>
  <c r="AC343" i="2" s="1"/>
  <c r="AA717" i="2"/>
  <c r="AB717" i="2" s="1"/>
  <c r="AC717" i="2" s="1"/>
  <c r="AA672" i="2"/>
  <c r="AB672" i="2" s="1"/>
  <c r="AC672" i="2" s="1"/>
  <c r="AA545" i="2"/>
  <c r="AB545" i="2" s="1"/>
  <c r="AC545" i="2" s="1"/>
  <c r="AA345" i="2"/>
  <c r="AB345" i="2" s="1"/>
  <c r="AC345" i="2" s="1"/>
  <c r="AA511" i="2"/>
  <c r="AB511" i="2" s="1"/>
  <c r="AC511" i="2" s="1"/>
  <c r="AA235" i="2"/>
  <c r="AB235" i="2" s="1"/>
  <c r="AC235" i="2" s="1"/>
  <c r="AA573" i="2"/>
  <c r="AB573" i="2" s="1"/>
  <c r="AC573" i="2" s="1"/>
  <c r="AA652" i="2"/>
  <c r="AB652" i="2" s="1"/>
  <c r="AC652" i="2" s="1"/>
  <c r="AA107" i="2"/>
  <c r="AB107" i="2" s="1"/>
  <c r="AC107" i="2" s="1"/>
  <c r="AA607" i="2"/>
  <c r="AB607" i="2" s="1"/>
  <c r="AC607" i="2" s="1"/>
  <c r="AA479" i="2"/>
  <c r="AB479" i="2" s="1"/>
  <c r="AC479" i="2" s="1"/>
  <c r="AA727" i="2"/>
  <c r="AB727" i="2" s="1"/>
  <c r="AC727" i="2" s="1"/>
  <c r="AA510" i="2"/>
  <c r="AB510" i="2" s="1"/>
  <c r="AC510" i="2" s="1"/>
  <c r="AA218" i="2"/>
  <c r="AB218" i="2" s="1"/>
  <c r="AC218" i="2" s="1"/>
  <c r="AA677" i="2"/>
  <c r="AB677" i="2" s="1"/>
  <c r="AC677" i="2" s="1"/>
  <c r="AA523" i="2"/>
  <c r="AB523" i="2" s="1"/>
  <c r="AC523" i="2" s="1"/>
  <c r="AA349" i="2"/>
  <c r="AB349" i="2" s="1"/>
  <c r="AC349" i="2" s="1"/>
  <c r="AA152" i="2"/>
  <c r="AB152" i="2" s="1"/>
  <c r="AC152" i="2" s="1"/>
  <c r="AA740" i="2"/>
  <c r="AB740" i="2" s="1"/>
  <c r="AC740" i="2" s="1"/>
  <c r="AA224" i="2"/>
  <c r="AB224" i="2" s="1"/>
  <c r="AC224" i="2" s="1"/>
  <c r="AA654" i="2"/>
  <c r="AB654" i="2" s="1"/>
  <c r="AC654" i="2" s="1"/>
  <c r="AA492" i="2"/>
  <c r="AB492" i="2" s="1"/>
  <c r="AC492" i="2" s="1"/>
  <c r="AA745" i="2"/>
  <c r="AB745" i="2" s="1"/>
  <c r="AC745" i="2" s="1"/>
  <c r="AA281" i="2"/>
  <c r="AB281" i="2" s="1"/>
  <c r="AC281" i="2" s="1"/>
  <c r="AA691" i="2"/>
  <c r="AB691" i="2" s="1"/>
  <c r="AC691" i="2" s="1"/>
  <c r="AA184" i="2"/>
  <c r="AB184" i="2" s="1"/>
  <c r="AC184" i="2" s="1"/>
  <c r="AA637" i="2"/>
  <c r="AB637" i="2" s="1"/>
  <c r="AC637" i="2" s="1"/>
  <c r="AA567" i="2"/>
  <c r="AB567" i="2" s="1"/>
  <c r="AC567" i="2" s="1"/>
  <c r="AA429" i="2"/>
  <c r="AB429" i="2" s="1"/>
  <c r="AC429" i="2" s="1"/>
  <c r="AA725" i="2"/>
  <c r="AB725" i="2" s="1"/>
  <c r="AC725" i="2" s="1"/>
  <c r="AA439" i="2"/>
  <c r="AB439" i="2" s="1"/>
  <c r="AC439" i="2" s="1"/>
  <c r="AA319" i="2"/>
  <c r="AB319" i="2" s="1"/>
  <c r="AC319" i="2" s="1"/>
  <c r="AA533" i="2"/>
  <c r="AB533" i="2" s="1"/>
  <c r="AC533" i="2" s="1"/>
  <c r="AA240" i="2"/>
  <c r="AB240" i="2" s="1"/>
  <c r="AC240" i="2" s="1"/>
  <c r="AA540" i="2"/>
  <c r="AB540" i="2" s="1"/>
  <c r="AC540" i="2" s="1"/>
  <c r="AA760" i="2"/>
  <c r="AB760" i="2" s="1"/>
  <c r="AC760" i="2" s="1"/>
  <c r="AA752" i="2"/>
  <c r="AB752" i="2" s="1"/>
  <c r="AC752" i="2" s="1"/>
  <c r="AA418" i="2"/>
  <c r="AB418" i="2" s="1"/>
  <c r="AC418" i="2" s="1"/>
  <c r="AA748" i="2"/>
  <c r="AB748" i="2" s="1"/>
  <c r="AC748" i="2" s="1"/>
  <c r="AA461" i="2"/>
  <c r="AB461" i="2" s="1"/>
  <c r="AC461" i="2" s="1"/>
  <c r="AA212" i="2"/>
  <c r="AB212" i="2" s="1"/>
  <c r="AC212" i="2" s="1"/>
  <c r="AA88" i="2"/>
  <c r="AB88" i="2" s="1"/>
  <c r="AC88" i="2" s="1"/>
  <c r="AA703" i="2"/>
  <c r="AB703" i="2" s="1"/>
  <c r="AC703" i="2" s="1"/>
  <c r="AA504" i="2"/>
  <c r="AB504" i="2" s="1"/>
  <c r="AC504" i="2" s="1"/>
  <c r="AA327" i="2"/>
  <c r="AB327" i="2" s="1"/>
  <c r="AC327" i="2" s="1"/>
  <c r="AA715" i="2"/>
  <c r="AB715" i="2" s="1"/>
  <c r="AC715" i="2" s="1"/>
  <c r="AA635" i="2"/>
  <c r="AB635" i="2" s="1"/>
  <c r="AC635" i="2" s="1"/>
  <c r="AA450" i="2"/>
  <c r="AB450" i="2" s="1"/>
  <c r="AC450" i="2" s="1"/>
  <c r="AA719" i="2"/>
  <c r="AB719" i="2" s="1"/>
  <c r="AC719" i="2" s="1"/>
  <c r="AA283" i="2"/>
  <c r="AB283" i="2" s="1"/>
  <c r="AC283" i="2" s="1"/>
  <c r="AA641" i="2"/>
  <c r="AB641" i="2" s="1"/>
  <c r="AC641" i="2" s="1"/>
  <c r="AA648" i="2"/>
  <c r="AB648" i="2" s="1"/>
  <c r="AC648" i="2" s="1"/>
  <c r="AA537" i="2"/>
  <c r="AB537" i="2" s="1"/>
  <c r="AC537" i="2" s="1"/>
  <c r="AA331" i="2"/>
  <c r="AB331" i="2" s="1"/>
  <c r="AC331" i="2" s="1"/>
  <c r="AA553" i="2"/>
  <c r="AB553" i="2" s="1"/>
  <c r="AC553" i="2" s="1"/>
  <c r="AA406" i="2"/>
  <c r="AB406" i="2" s="1"/>
  <c r="AC406" i="2" s="1"/>
  <c r="AA723" i="2"/>
  <c r="AB723" i="2" s="1"/>
  <c r="AC723" i="2" s="1"/>
  <c r="AA514" i="2"/>
  <c r="AB514" i="2" s="1"/>
  <c r="AC514" i="2" s="1"/>
  <c r="AA449" i="2"/>
  <c r="AB449" i="2" s="1"/>
  <c r="AC449" i="2" s="1"/>
  <c r="AA436" i="2"/>
  <c r="AB436" i="2" s="1"/>
  <c r="AC436" i="2" s="1"/>
  <c r="AA764" i="2"/>
  <c r="AB764" i="2" s="1"/>
  <c r="AC764" i="2" s="1"/>
  <c r="AA739" i="2"/>
  <c r="AB739" i="2" s="1"/>
  <c r="AC739" i="2" s="1"/>
  <c r="AA482" i="2"/>
  <c r="AB482" i="2" s="1"/>
  <c r="AC482" i="2" s="1"/>
  <c r="AA662" i="2"/>
  <c r="AB662" i="2" s="1"/>
  <c r="AC662" i="2" s="1"/>
  <c r="AA414" i="2"/>
  <c r="AB414" i="2" s="1"/>
  <c r="AC414" i="2" s="1"/>
  <c r="AA694" i="2"/>
  <c r="AB694" i="2" s="1"/>
  <c r="AC694" i="2" s="1"/>
  <c r="AA709" i="2"/>
  <c r="AB709" i="2" s="1"/>
  <c r="AC709" i="2" s="1"/>
  <c r="AA487" i="2"/>
  <c r="AB487" i="2" s="1"/>
  <c r="AC487" i="2" s="1"/>
  <c r="AA234" i="2"/>
  <c r="AB234" i="2" s="1"/>
  <c r="AC234" i="2" s="1"/>
  <c r="AA124" i="2"/>
  <c r="AB124" i="2" s="1"/>
  <c r="AC124" i="2" s="1"/>
  <c r="AA667" i="2"/>
  <c r="AB667" i="2" s="1"/>
  <c r="AC667" i="2" s="1"/>
  <c r="AA651" i="2"/>
  <c r="AB651" i="2" s="1"/>
  <c r="AC651" i="2" s="1"/>
  <c r="AA483" i="2"/>
  <c r="AB483" i="2" s="1"/>
  <c r="AC483" i="2" s="1"/>
  <c r="AA303" i="2"/>
  <c r="AB303" i="2" s="1"/>
  <c r="AC303" i="2" s="1"/>
  <c r="AA437" i="2"/>
  <c r="AB437" i="2" s="1"/>
  <c r="AC437" i="2" s="1"/>
  <c r="AA519" i="2"/>
  <c r="AB519" i="2" s="1"/>
  <c r="AC519" i="2" s="1"/>
  <c r="AA236" i="2"/>
  <c r="AB236" i="2" s="1"/>
  <c r="AC236" i="2" s="1"/>
  <c r="AA532" i="2"/>
  <c r="AB532" i="2" s="1"/>
  <c r="AC532" i="2" s="1"/>
  <c r="AA472" i="2"/>
  <c r="AB472" i="2" s="1"/>
  <c r="AC472" i="2" s="1"/>
  <c r="AA707" i="2"/>
  <c r="AB707" i="2" s="1"/>
  <c r="AC707" i="2" s="1"/>
  <c r="AA313" i="2"/>
  <c r="AB313" i="2" s="1"/>
  <c r="AC313" i="2" s="1"/>
  <c r="AA693" i="2"/>
  <c r="AB693" i="2" s="1"/>
  <c r="AC693" i="2" s="1"/>
  <c r="AA686" i="2"/>
  <c r="AB686" i="2" s="1"/>
  <c r="AC686" i="2" s="1"/>
  <c r="AA374" i="2"/>
  <c r="AB374" i="2" s="1"/>
  <c r="AC374" i="2" s="1"/>
  <c r="AA625" i="2"/>
  <c r="AB625" i="2" s="1"/>
  <c r="AC625" i="2" s="1"/>
  <c r="AA457" i="2"/>
  <c r="AB457" i="2" s="1"/>
  <c r="AC457" i="2" s="1"/>
  <c r="AA702" i="2"/>
  <c r="AB702" i="2" s="1"/>
  <c r="AC702" i="2" s="1"/>
  <c r="AA664" i="2"/>
  <c r="AB664" i="2" s="1"/>
  <c r="AC664" i="2" s="1"/>
  <c r="AA494" i="2"/>
  <c r="AB494" i="2" s="1"/>
  <c r="AC494" i="2" s="1"/>
  <c r="AA200" i="2"/>
  <c r="AB200" i="2" s="1"/>
  <c r="AC200" i="2" s="1"/>
  <c r="AA579" i="2"/>
  <c r="AB579" i="2" s="1"/>
  <c r="AC579" i="2" s="1"/>
  <c r="AA598" i="2"/>
  <c r="AB598" i="2" s="1"/>
  <c r="AC598" i="2" s="1"/>
  <c r="AA400" i="2"/>
  <c r="AB400" i="2" s="1"/>
  <c r="AC400" i="2" s="1"/>
  <c r="AA660" i="2"/>
  <c r="AB660" i="2" s="1"/>
  <c r="AC660" i="2" s="1"/>
  <c r="AA464" i="2"/>
  <c r="AB464" i="2" s="1"/>
  <c r="AC464" i="2" s="1"/>
  <c r="AA605" i="2"/>
  <c r="AB605" i="2" s="1"/>
  <c r="AC605" i="2" s="1"/>
  <c r="AA468" i="2"/>
  <c r="AB468" i="2" s="1"/>
  <c r="AC468" i="2" s="1"/>
  <c r="AA250" i="2"/>
  <c r="AB250" i="2" s="1"/>
  <c r="AC250" i="2" s="1"/>
  <c r="AA155" i="2"/>
  <c r="AB155" i="2" s="1"/>
  <c r="AC155" i="2" s="1"/>
  <c r="AA526" i="2"/>
  <c r="AB526" i="2" s="1"/>
  <c r="AC526" i="2" s="1"/>
  <c r="AA329" i="2"/>
  <c r="AB329" i="2" s="1"/>
  <c r="AC329" i="2" s="1"/>
  <c r="AA180" i="2"/>
  <c r="AB180" i="2" s="1"/>
  <c r="AC180" i="2" s="1"/>
  <c r="AA744" i="2"/>
  <c r="AB744" i="2" s="1"/>
  <c r="AC744" i="2" s="1"/>
  <c r="AA396" i="2"/>
  <c r="AB396" i="2" s="1"/>
  <c r="AC396" i="2" s="1"/>
  <c r="AA698" i="2"/>
  <c r="AB698" i="2" s="1"/>
  <c r="AC698" i="2" s="1"/>
  <c r="AA668" i="2"/>
  <c r="AB668" i="2" s="1"/>
  <c r="AC668" i="2" s="1"/>
  <c r="AA384" i="2"/>
  <c r="AB384" i="2" s="1"/>
  <c r="AC384" i="2" s="1"/>
  <c r="AA600" i="2"/>
  <c r="AB600" i="2" s="1"/>
  <c r="AC600" i="2" s="1"/>
  <c r="AA441" i="2"/>
  <c r="AB441" i="2" s="1"/>
  <c r="AC441" i="2" s="1"/>
  <c r="AA681" i="2"/>
  <c r="AB681" i="2" s="1"/>
  <c r="AC681" i="2" s="1"/>
  <c r="AA431" i="2"/>
  <c r="AB431" i="2" s="1"/>
  <c r="AC431" i="2" s="1"/>
  <c r="AA549" i="2"/>
  <c r="AB549" i="2" s="1"/>
  <c r="AC549" i="2" s="1"/>
  <c r="AA518" i="2"/>
  <c r="AB518" i="2" s="1"/>
  <c r="AC518" i="2" s="1"/>
  <c r="AA417" i="2"/>
  <c r="AB417" i="2" s="1"/>
  <c r="AC417" i="2" s="1"/>
  <c r="AA571" i="2"/>
  <c r="AB571" i="2" s="1"/>
  <c r="AC571" i="2" s="1"/>
  <c r="AA480" i="2"/>
  <c r="AB480" i="2" s="1"/>
  <c r="AC480" i="2" s="1"/>
  <c r="AA481" i="2"/>
  <c r="AB481" i="2" s="1"/>
  <c r="AC481" i="2" s="1"/>
  <c r="AA721" i="2"/>
  <c r="AB721" i="2" s="1"/>
  <c r="AC721" i="2" s="1"/>
  <c r="AA390" i="2"/>
  <c r="AB390" i="2" s="1"/>
  <c r="AC390" i="2" s="1"/>
  <c r="AA243" i="2"/>
  <c r="AB243" i="2" s="1"/>
  <c r="AC243" i="2" s="1"/>
  <c r="AA412" i="2"/>
  <c r="AB412" i="2" s="1"/>
  <c r="AC412" i="2" s="1"/>
  <c r="AA665" i="2"/>
  <c r="AB665" i="2" s="1"/>
  <c r="AC665" i="2" s="1"/>
  <c r="AA297" i="2"/>
  <c r="AB297" i="2" s="1"/>
  <c r="AC297" i="2" s="1"/>
  <c r="AA358" i="2"/>
  <c r="AB358" i="2" s="1"/>
  <c r="AC358" i="2" s="1"/>
  <c r="AA226" i="2"/>
  <c r="AB226" i="2" s="1"/>
  <c r="AC226" i="2" s="1"/>
  <c r="AA741" i="2"/>
  <c r="AB741" i="2" s="1"/>
  <c r="AC741" i="2" s="1"/>
  <c r="AA502" i="2"/>
  <c r="AB502" i="2" s="1"/>
  <c r="AC502" i="2" s="1"/>
  <c r="AA299" i="2"/>
  <c r="AB299" i="2" s="1"/>
  <c r="AC299" i="2" s="1"/>
  <c r="AA287" i="2"/>
  <c r="AB287" i="2" s="1"/>
  <c r="AC287" i="2" s="1"/>
  <c r="AA255" i="2"/>
  <c r="AB255" i="2" s="1"/>
  <c r="AC255" i="2" s="1"/>
  <c r="AA609" i="2"/>
  <c r="AB609" i="2" s="1"/>
  <c r="AC609" i="2" s="1"/>
  <c r="AA476" i="2"/>
  <c r="AB476" i="2" s="1"/>
  <c r="AC476" i="2" s="1"/>
  <c r="AA705" i="2"/>
  <c r="AB705" i="2" s="1"/>
  <c r="AC705" i="2" s="1"/>
  <c r="AA456" i="2"/>
  <c r="AB456" i="2" s="1"/>
  <c r="AC456" i="2" s="1"/>
  <c r="AA588" i="2"/>
  <c r="AB588" i="2" s="1"/>
  <c r="AC588" i="2" s="1"/>
  <c r="AA408" i="2"/>
  <c r="AB408" i="2" s="1"/>
  <c r="AC408" i="2" s="1"/>
  <c r="AA682" i="2"/>
  <c r="AB682" i="2" s="1"/>
  <c r="AC682" i="2" s="1"/>
  <c r="AA615" i="2"/>
  <c r="AB615" i="2" s="1"/>
  <c r="AC615" i="2" s="1"/>
  <c r="AA544" i="2"/>
  <c r="AB544" i="2" s="1"/>
  <c r="AC544" i="2" s="1"/>
  <c r="AA581" i="2"/>
  <c r="AB581" i="2" s="1"/>
  <c r="AC581" i="2" s="1"/>
  <c r="AA565" i="2"/>
  <c r="AB565" i="2" s="1"/>
  <c r="AC565" i="2" s="1"/>
  <c r="AA627" i="2"/>
  <c r="AB627" i="2" s="1"/>
  <c r="AC627" i="2" s="1"/>
  <c r="AA722" i="2"/>
  <c r="AB722" i="2" s="1"/>
  <c r="AC722" i="2" s="1"/>
  <c r="AA434" i="2"/>
  <c r="AB434" i="2" s="1"/>
  <c r="AC434" i="2" s="1"/>
  <c r="AA305" i="2"/>
  <c r="AB305" i="2" s="1"/>
  <c r="AC305" i="2" s="1"/>
  <c r="AA749" i="2"/>
  <c r="AB749" i="2" s="1"/>
  <c r="AC749" i="2" s="1"/>
  <c r="AA700" i="2"/>
  <c r="AB700" i="2" s="1"/>
  <c r="AC700" i="2" s="1"/>
  <c r="AA357" i="2"/>
  <c r="AB357" i="2" s="1"/>
  <c r="AC357" i="2" s="1"/>
  <c r="AA644" i="2"/>
  <c r="AB644" i="2" s="1"/>
  <c r="AC644" i="2" s="1"/>
  <c r="AA326" i="2"/>
  <c r="AB326" i="2" s="1"/>
  <c r="AC326" i="2" s="1"/>
  <c r="AA500" i="2"/>
  <c r="AB500" i="2" s="1"/>
  <c r="AC500" i="2" s="1"/>
  <c r="AA766" i="2"/>
  <c r="AB766" i="2" s="1"/>
  <c r="AC766" i="2" s="1"/>
  <c r="AA582" i="2"/>
  <c r="AB582" i="2" s="1"/>
  <c r="AC582" i="2" s="1"/>
  <c r="AA435" i="2"/>
  <c r="AB435" i="2" s="1"/>
  <c r="AC435" i="2" s="1"/>
  <c r="AA114" i="2"/>
  <c r="AB114" i="2" s="1"/>
  <c r="AC114" i="2" s="1"/>
  <c r="AA690" i="2"/>
  <c r="AB690" i="2" s="1"/>
  <c r="AC690" i="2" s="1"/>
  <c r="AA248" i="2"/>
  <c r="AB248" i="2" s="1"/>
  <c r="AC248" i="2" s="1"/>
  <c r="AA202" i="2"/>
  <c r="AB202" i="2" s="1"/>
  <c r="AC202" i="2" s="1"/>
  <c r="AA640" i="2"/>
  <c r="AB640" i="2" s="1"/>
  <c r="AC640" i="2" s="1"/>
  <c r="AA376" i="2"/>
  <c r="AB376" i="2" s="1"/>
  <c r="AC376" i="2" s="1"/>
  <c r="AA201" i="2"/>
  <c r="AB201" i="2" s="1"/>
  <c r="AC201" i="2" s="1"/>
  <c r="AA379" i="2"/>
  <c r="AB379" i="2" s="1"/>
  <c r="AC379" i="2" s="1"/>
  <c r="AA578" i="2"/>
  <c r="AB578" i="2" s="1"/>
  <c r="AC578" i="2" s="1"/>
  <c r="AA445" i="2"/>
  <c r="AB445" i="2" s="1"/>
  <c r="AC445" i="2" s="1"/>
  <c r="AA393" i="2"/>
  <c r="AB393" i="2" s="1"/>
  <c r="AC393" i="2" s="1"/>
  <c r="AA466" i="2"/>
  <c r="AB466" i="2" s="1"/>
  <c r="AC466" i="2" s="1"/>
  <c r="AA762" i="2"/>
  <c r="AB762" i="2" s="1"/>
  <c r="AC762" i="2" s="1"/>
  <c r="AA285" i="2"/>
  <c r="AB285" i="2" s="1"/>
  <c r="AC285" i="2" s="1"/>
  <c r="AA674" i="2"/>
  <c r="AB674" i="2" s="1"/>
  <c r="AC674" i="2" s="1"/>
  <c r="AA268" i="2"/>
  <c r="AB268" i="2" s="1"/>
  <c r="AC268" i="2" s="1"/>
  <c r="AA360" i="2"/>
  <c r="AB360" i="2" s="1"/>
  <c r="AC360" i="2" s="1"/>
  <c r="AA680" i="2"/>
  <c r="AB680" i="2" s="1"/>
  <c r="AC680" i="2" s="1"/>
  <c r="AA128" i="2"/>
  <c r="AB128" i="2" s="1"/>
  <c r="AC128" i="2" s="1"/>
  <c r="AA110" i="2"/>
  <c r="AB110" i="2" s="1"/>
  <c r="AC110" i="2" s="1"/>
  <c r="AA451" i="2"/>
  <c r="AB451" i="2" s="1"/>
  <c r="AC451" i="2" s="1"/>
  <c r="AA611" i="2"/>
  <c r="AB611" i="2" s="1"/>
  <c r="AC611" i="2" s="1"/>
  <c r="AA684" i="2"/>
  <c r="AB684" i="2" s="1"/>
  <c r="AC684" i="2" s="1"/>
  <c r="AA348" i="2"/>
  <c r="AB348" i="2" s="1"/>
  <c r="AC348" i="2" s="1"/>
  <c r="AA669" i="2"/>
  <c r="AB669" i="2" s="1"/>
  <c r="AC669" i="2" s="1"/>
  <c r="AA347" i="2"/>
  <c r="AB347" i="2" s="1"/>
  <c r="AC347" i="2" s="1"/>
  <c r="AA277" i="2"/>
  <c r="AB277" i="2" s="1"/>
  <c r="AC277" i="2" s="1"/>
  <c r="AA642" i="2"/>
  <c r="AB642" i="2" s="1"/>
  <c r="AC642" i="2" s="1"/>
  <c r="AA256" i="2"/>
  <c r="AB256" i="2" s="1"/>
  <c r="AC256" i="2" s="1"/>
  <c r="AA191" i="2"/>
  <c r="AB191" i="2" s="1"/>
  <c r="AC191" i="2" s="1"/>
  <c r="AA204" i="2"/>
  <c r="AB204" i="2" s="1"/>
  <c r="AC204" i="2" s="1"/>
  <c r="AA555" i="2"/>
  <c r="AB555" i="2" s="1"/>
  <c r="AC555" i="2" s="1"/>
  <c r="AA447" i="2"/>
  <c r="AB447" i="2" s="1"/>
  <c r="AC447" i="2" s="1"/>
  <c r="AA425" i="2"/>
  <c r="AB425" i="2" s="1"/>
  <c r="AC425" i="2" s="1"/>
  <c r="AA572" i="2"/>
  <c r="AB572" i="2" s="1"/>
  <c r="AC572" i="2" s="1"/>
  <c r="AA769" i="2"/>
  <c r="AB769" i="2" s="1"/>
  <c r="AC769" i="2" s="1"/>
  <c r="AA423" i="2"/>
  <c r="AB423" i="2" s="1"/>
  <c r="AC423" i="2" s="1"/>
  <c r="AA591" i="2"/>
  <c r="AB591" i="2" s="1"/>
  <c r="AC591" i="2" s="1"/>
  <c r="AA732" i="2"/>
  <c r="AB732" i="2" s="1"/>
  <c r="AC732" i="2" s="1"/>
  <c r="AA381" i="2"/>
  <c r="AB381" i="2" s="1"/>
  <c r="AC381" i="2" s="1"/>
  <c r="AA421" i="2"/>
  <c r="AB421" i="2" s="1"/>
  <c r="AC421" i="2" s="1"/>
  <c r="AA610" i="2"/>
  <c r="AB610" i="2" s="1"/>
  <c r="AC610" i="2" s="1"/>
  <c r="AA228" i="2"/>
  <c r="AB228" i="2" s="1"/>
  <c r="AC228" i="2" s="1"/>
  <c r="AA446" i="2"/>
  <c r="AB446" i="2" s="1"/>
  <c r="AC446" i="2" s="1"/>
  <c r="AA534" i="2"/>
  <c r="AB534" i="2" s="1"/>
  <c r="AC534" i="2" s="1"/>
  <c r="AA463" i="2"/>
  <c r="AB463" i="2" s="1"/>
  <c r="AC463" i="2" s="1"/>
  <c r="AA516" i="2"/>
  <c r="AB516" i="2" s="1"/>
  <c r="AC516" i="2" s="1"/>
  <c r="AA604" i="2"/>
  <c r="AB604" i="2" s="1"/>
  <c r="AC604" i="2" s="1"/>
  <c r="AA290" i="2"/>
  <c r="AB290" i="2" s="1"/>
  <c r="AC290" i="2" s="1"/>
  <c r="AA208" i="2"/>
  <c r="AB208" i="2" s="1"/>
  <c r="AC208" i="2" s="1"/>
  <c r="AA663" i="2"/>
  <c r="AB663" i="2" s="1"/>
  <c r="AC663" i="2" s="1"/>
  <c r="AA525" i="2"/>
  <c r="AB525" i="2" s="1"/>
  <c r="AC525" i="2" s="1"/>
  <c r="AA401" i="2"/>
  <c r="AB401" i="2" s="1"/>
  <c r="AC401" i="2" s="1"/>
  <c r="AA320" i="2"/>
  <c r="AB320" i="2" s="1"/>
  <c r="AC320" i="2" s="1"/>
  <c r="AA583" i="2"/>
  <c r="AB583" i="2" s="1"/>
  <c r="AC583" i="2" s="1"/>
  <c r="AA683" i="2"/>
  <c r="AB683" i="2" s="1"/>
  <c r="AC683" i="2" s="1"/>
  <c r="AA568" i="2"/>
  <c r="AB568" i="2" s="1"/>
  <c r="AC568" i="2" s="1"/>
  <c r="AA430" i="2"/>
  <c r="AB430" i="2" s="1"/>
  <c r="AC430" i="2" s="1"/>
  <c r="AA497" i="2"/>
  <c r="AB497" i="2" s="1"/>
  <c r="AC497" i="2" s="1"/>
  <c r="AA238" i="2"/>
  <c r="AB238" i="2" s="1"/>
  <c r="AC238" i="2" s="1"/>
  <c r="AA317" i="2"/>
  <c r="AB317" i="2" s="1"/>
  <c r="AC317" i="2" s="1"/>
  <c r="AA443" i="2"/>
  <c r="AB443" i="2" s="1"/>
  <c r="AC443" i="2" s="1"/>
  <c r="AA507" i="2"/>
  <c r="AB507" i="2" s="1"/>
  <c r="AC507" i="2" s="1"/>
  <c r="AA763" i="2"/>
  <c r="AB763" i="2" s="1"/>
  <c r="AC763" i="2" s="1"/>
  <c r="AA301" i="2"/>
  <c r="AB301" i="2" s="1"/>
  <c r="AC301" i="2" s="1"/>
  <c r="AA624" i="2"/>
  <c r="AB624" i="2" s="1"/>
  <c r="AC624" i="2" s="1"/>
  <c r="AA269" i="2"/>
  <c r="AB269" i="2" s="1"/>
  <c r="AC269" i="2" s="1"/>
  <c r="AA158" i="2"/>
  <c r="AB158" i="2" s="1"/>
  <c r="AC158" i="2" s="1"/>
  <c r="AA614" i="2"/>
  <c r="AB614" i="2" s="1"/>
  <c r="AC614" i="2" s="1"/>
  <c r="AA394" i="2"/>
  <c r="AB394" i="2" s="1"/>
  <c r="AC394" i="2" s="1"/>
  <c r="AA696" i="2"/>
  <c r="AB696" i="2" s="1"/>
  <c r="AC696" i="2" s="1"/>
  <c r="AA580" i="2"/>
  <c r="AB580" i="2" s="1"/>
  <c r="AC580" i="2" s="1"/>
  <c r="AA478" i="2"/>
  <c r="AB478" i="2" s="1"/>
  <c r="AC478" i="2" s="1"/>
  <c r="AA569" i="2"/>
  <c r="AB569" i="2" s="1"/>
  <c r="AC569" i="2" s="1"/>
  <c r="AA330" i="2"/>
  <c r="AB330" i="2" s="1"/>
  <c r="AC330" i="2" s="1"/>
  <c r="AA601" i="2"/>
  <c r="AB601" i="2" s="1"/>
  <c r="AC601" i="2" s="1"/>
  <c r="AA639" i="2"/>
  <c r="AB639" i="2" s="1"/>
  <c r="AC639" i="2" s="1"/>
  <c r="AA321" i="2"/>
  <c r="AB321" i="2" s="1"/>
  <c r="AC321" i="2" s="1"/>
  <c r="AA599" i="2"/>
  <c r="AB599" i="2" s="1"/>
  <c r="AC599" i="2" s="1"/>
  <c r="AA336" i="2"/>
  <c r="AB336" i="2" s="1"/>
  <c r="AC336" i="2" s="1"/>
  <c r="AA761" i="2"/>
  <c r="AB761" i="2" s="1"/>
  <c r="AC761" i="2" s="1"/>
  <c r="AA535" i="2"/>
  <c r="AB535" i="2" s="1"/>
  <c r="AC535" i="2" s="1"/>
  <c r="AA716" i="2"/>
  <c r="AB716" i="2" s="1"/>
  <c r="AC716" i="2" s="1"/>
  <c r="AA397" i="2"/>
  <c r="AB397" i="2" s="1"/>
  <c r="AC397" i="2" s="1"/>
  <c r="AA373" i="2"/>
  <c r="AB373" i="2" s="1"/>
  <c r="AC373" i="2" s="1"/>
  <c r="AA666" i="2"/>
  <c r="AB666" i="2" s="1"/>
  <c r="AC666" i="2" s="1"/>
  <c r="AA222" i="2"/>
  <c r="AB222" i="2" s="1"/>
  <c r="AC222" i="2" s="1"/>
  <c r="AA586" i="2"/>
  <c r="AB586" i="2" s="1"/>
  <c r="AC586" i="2" s="1"/>
  <c r="AA174" i="2"/>
  <c r="AB174" i="2" s="1"/>
  <c r="AC174" i="2" s="1"/>
  <c r="AA448" i="2"/>
  <c r="AB448" i="2" s="1"/>
  <c r="AC448" i="2" s="1"/>
  <c r="AA490" i="2"/>
  <c r="AB490" i="2" s="1"/>
  <c r="AC490" i="2" s="1"/>
  <c r="AA156" i="2"/>
  <c r="AB156" i="2" s="1"/>
  <c r="AC156" i="2" s="1"/>
  <c r="AA704" i="2"/>
  <c r="AB704" i="2" s="1"/>
  <c r="AC704" i="2" s="1"/>
  <c r="AA314" i="2"/>
  <c r="AB314" i="2" s="1"/>
  <c r="AC314" i="2" s="1"/>
  <c r="AA372" i="2"/>
  <c r="AB372" i="2" s="1"/>
  <c r="AC372" i="2" s="1"/>
  <c r="AA562" i="2"/>
  <c r="AB562" i="2" s="1"/>
  <c r="AC562" i="2" s="1"/>
  <c r="AA564" i="2"/>
  <c r="AB564" i="2" s="1"/>
  <c r="AC564" i="2" s="1"/>
  <c r="AA671" i="2"/>
  <c r="AB671" i="2" s="1"/>
  <c r="AC671" i="2" s="1"/>
  <c r="AA438" i="2"/>
  <c r="AB438" i="2" s="1"/>
  <c r="AC438" i="2" s="1"/>
  <c r="AA210" i="2"/>
  <c r="AB210" i="2" s="1"/>
  <c r="AC210" i="2" s="1"/>
  <c r="AA617" i="2"/>
  <c r="AB617" i="2" s="1"/>
  <c r="AC617" i="2" s="1"/>
  <c r="AA469" i="2"/>
  <c r="AB469" i="2" s="1"/>
  <c r="AC469" i="2" s="1"/>
  <c r="AA647" i="2"/>
  <c r="AB647" i="2" s="1"/>
  <c r="AC647" i="2" s="1"/>
  <c r="AA214" i="2"/>
  <c r="AB214" i="2" s="1"/>
  <c r="AC214" i="2" s="1"/>
  <c r="AA391" i="2"/>
  <c r="AB391" i="2" s="1"/>
  <c r="AC391" i="2" s="1"/>
  <c r="AA458" i="2"/>
  <c r="AB458" i="2" s="1"/>
  <c r="AC458" i="2" s="1"/>
  <c r="AA332" i="2"/>
  <c r="AB332" i="2" s="1"/>
  <c r="AC332" i="2" s="1"/>
  <c r="AA337" i="2"/>
  <c r="AB337" i="2" s="1"/>
  <c r="AC337" i="2" s="1"/>
  <c r="AA284" i="2"/>
  <c r="AB284" i="2" s="1"/>
  <c r="AC284" i="2" s="1"/>
  <c r="AA173" i="2"/>
  <c r="AB173" i="2" s="1"/>
  <c r="AC173" i="2" s="1"/>
  <c r="AA442" i="2"/>
  <c r="AB442" i="2" s="1"/>
  <c r="AC442" i="2" s="1"/>
  <c r="AA444" i="2"/>
  <c r="AB444" i="2" s="1"/>
  <c r="AC444" i="2" s="1"/>
  <c r="AA585" i="2"/>
  <c r="AB585" i="2" s="1"/>
  <c r="AC585" i="2" s="1"/>
  <c r="AA685" i="2"/>
  <c r="AB685" i="2" s="1"/>
  <c r="AC685" i="2" s="1"/>
  <c r="AA560" i="2"/>
  <c r="AB560" i="2" s="1"/>
  <c r="AC560" i="2" s="1"/>
  <c r="AA505" i="2"/>
  <c r="AB505" i="2" s="1"/>
  <c r="AC505" i="2" s="1"/>
  <c r="AA252" i="2"/>
  <c r="AB252" i="2" s="1"/>
  <c r="AC252" i="2" s="1"/>
  <c r="AA728" i="2"/>
  <c r="AB728" i="2" s="1"/>
  <c r="AC728" i="2" s="1"/>
  <c r="AA276" i="2"/>
  <c r="AB276" i="2" s="1"/>
  <c r="AC276" i="2" s="1"/>
  <c r="AA213" i="2"/>
  <c r="AB213" i="2" s="1"/>
  <c r="AC213" i="2" s="1"/>
  <c r="AA428" i="2"/>
  <c r="AB428" i="2" s="1"/>
  <c r="AC428" i="2" s="1"/>
  <c r="AA547" i="2"/>
  <c r="AB547" i="2" s="1"/>
  <c r="AC547" i="2" s="1"/>
  <c r="AA574" i="2"/>
  <c r="AB574" i="2" s="1"/>
  <c r="AC574" i="2" s="1"/>
  <c r="AA552" i="2"/>
  <c r="AB552" i="2" s="1"/>
  <c r="AC552" i="2" s="1"/>
  <c r="AA626" i="2"/>
  <c r="AB626" i="2" s="1"/>
  <c r="AC626" i="2" s="1"/>
  <c r="AA253" i="2"/>
  <c r="AB253" i="2" s="1"/>
  <c r="AC253" i="2" s="1"/>
  <c r="AA308" i="2"/>
  <c r="AB308" i="2" s="1"/>
  <c r="AC308" i="2" s="1"/>
  <c r="AA167" i="2"/>
  <c r="AB167" i="2" s="1"/>
  <c r="AC167" i="2" s="1"/>
  <c r="AA720" i="2"/>
  <c r="AB720" i="2" s="1"/>
  <c r="AC720" i="2" s="1"/>
  <c r="AA726" i="2"/>
  <c r="AB726" i="2" s="1"/>
  <c r="AC726" i="2" s="1"/>
  <c r="AA493" i="2"/>
  <c r="AB493" i="2" s="1"/>
  <c r="AC493" i="2" s="1"/>
  <c r="AA350" i="2"/>
  <c r="AB350" i="2" s="1"/>
  <c r="AC350" i="2" s="1"/>
  <c r="AA225" i="2"/>
  <c r="AB225" i="2" s="1"/>
  <c r="AC225" i="2" s="1"/>
  <c r="AA272" i="2"/>
  <c r="AB272" i="2" s="1"/>
  <c r="AC272" i="2" s="1"/>
  <c r="AA387" i="2"/>
  <c r="AB387" i="2" s="1"/>
  <c r="AC387" i="2" s="1"/>
  <c r="AA172" i="2"/>
  <c r="AB172" i="2" s="1"/>
  <c r="AC172" i="2" s="1"/>
  <c r="AA679" i="2"/>
  <c r="AB679" i="2" s="1"/>
  <c r="AC679" i="2" s="1"/>
  <c r="AA622" i="2"/>
  <c r="AB622" i="2" s="1"/>
  <c r="AC622" i="2" s="1"/>
  <c r="AA355" i="2"/>
  <c r="AB355" i="2" s="1"/>
  <c r="AC355" i="2" s="1"/>
  <c r="AA759" i="2"/>
  <c r="AB759" i="2" s="1"/>
  <c r="AC759" i="2" s="1"/>
  <c r="AA488" i="2"/>
  <c r="AB488" i="2" s="1"/>
  <c r="AC488" i="2" s="1"/>
  <c r="AA454" i="2"/>
  <c r="AB454" i="2" s="1"/>
  <c r="AC454" i="2" s="1"/>
  <c r="AA254" i="2"/>
  <c r="AB254" i="2" s="1"/>
  <c r="AC254" i="2" s="1"/>
  <c r="AA385" i="2"/>
  <c r="AB385" i="2" s="1"/>
  <c r="AC385" i="2" s="1"/>
  <c r="AA575" i="2"/>
  <c r="AB575" i="2" s="1"/>
  <c r="AC575" i="2" s="1"/>
  <c r="AA388" i="2"/>
  <c r="AB388" i="2" s="1"/>
  <c r="AC388" i="2" s="1"/>
  <c r="AA106" i="2"/>
  <c r="AB106" i="2" s="1"/>
  <c r="AC106" i="2" s="1"/>
  <c r="AA636" i="2"/>
  <c r="AB636" i="2" s="1"/>
  <c r="AC636" i="2" s="1"/>
  <c r="AA282" i="2"/>
  <c r="AB282" i="2" s="1"/>
  <c r="AC282" i="2" s="1"/>
  <c r="AA489" i="2"/>
  <c r="AB489" i="2" s="1"/>
  <c r="AC489" i="2" s="1"/>
  <c r="AA733" i="2"/>
  <c r="AB733" i="2" s="1"/>
  <c r="AC733" i="2" s="1"/>
  <c r="AA312" i="2"/>
  <c r="AB312" i="2" s="1"/>
  <c r="AC312" i="2" s="1"/>
  <c r="AA377" i="2"/>
  <c r="AB377" i="2" s="1"/>
  <c r="AC377" i="2" s="1"/>
  <c r="AA195" i="2"/>
  <c r="AB195" i="2" s="1"/>
  <c r="AC195" i="2" s="1"/>
  <c r="AA460" i="2"/>
  <c r="AB460" i="2" s="1"/>
  <c r="AC460" i="2" s="1"/>
  <c r="AA427" i="2"/>
  <c r="AB427" i="2" s="1"/>
  <c r="AC427" i="2" s="1"/>
  <c r="AA618" i="2"/>
  <c r="AB618" i="2" s="1"/>
  <c r="AC618" i="2" s="1"/>
  <c r="AA306" i="2"/>
  <c r="AB306" i="2" s="1"/>
  <c r="AC306" i="2" s="1"/>
  <c r="AA734" i="2"/>
  <c r="AB734" i="2" s="1"/>
  <c r="AC734" i="2" s="1"/>
  <c r="AA649" i="2"/>
  <c r="AB649" i="2" s="1"/>
  <c r="AC649" i="2" s="1"/>
  <c r="AA220" i="2"/>
  <c r="AB220" i="2" s="1"/>
  <c r="AC220" i="2" s="1"/>
  <c r="AA475" i="2"/>
  <c r="AB475" i="2" s="1"/>
  <c r="AC475" i="2" s="1"/>
  <c r="AA506" i="2"/>
  <c r="AB506" i="2" s="1"/>
  <c r="AC506" i="2" s="1"/>
  <c r="AA742" i="2"/>
  <c r="AB742" i="2" s="1"/>
  <c r="AC742" i="2" s="1"/>
  <c r="AA274" i="2"/>
  <c r="AB274" i="2" s="1"/>
  <c r="AC274" i="2" s="1"/>
  <c r="AA528" i="2"/>
  <c r="AB528" i="2" s="1"/>
  <c r="AC528" i="2" s="1"/>
  <c r="AA486" i="2"/>
  <c r="AB486" i="2" s="1"/>
  <c r="AC486" i="2" s="1"/>
  <c r="AA470" i="2"/>
  <c r="AB470" i="2" s="1"/>
  <c r="AC470" i="2" s="1"/>
  <c r="AA509" i="2"/>
  <c r="AB509" i="2" s="1"/>
  <c r="AC509" i="2" s="1"/>
  <c r="AA596" i="2"/>
  <c r="AB596" i="2" s="1"/>
  <c r="AC596" i="2" s="1"/>
  <c r="AA409" i="2"/>
  <c r="AB409" i="2" s="1"/>
  <c r="AC409" i="2" s="1"/>
  <c r="AA433" i="2"/>
  <c r="AB433" i="2" s="1"/>
  <c r="AC433" i="2" s="1"/>
  <c r="AA531" i="2"/>
  <c r="AB531" i="2" s="1"/>
  <c r="AC531" i="2" s="1"/>
  <c r="AA750" i="2"/>
  <c r="AB750" i="2" s="1"/>
  <c r="AC750" i="2" s="1"/>
  <c r="AA577" i="2"/>
  <c r="AB577" i="2" s="1"/>
  <c r="AC577" i="2" s="1"/>
  <c r="AA530" i="2"/>
  <c r="AB530" i="2" s="1"/>
  <c r="AC530" i="2" s="1"/>
  <c r="AA758" i="2"/>
  <c r="AB758" i="2" s="1"/>
  <c r="AC758" i="2" s="1"/>
  <c r="AA239" i="2"/>
  <c r="AB239" i="2" s="1"/>
  <c r="AC239" i="2" s="1"/>
  <c r="AA232" i="2"/>
  <c r="AB232" i="2" s="1"/>
  <c r="AC232" i="2" s="1"/>
  <c r="AA765" i="2"/>
  <c r="AB765" i="2" s="1"/>
  <c r="AC765" i="2" s="1"/>
  <c r="AA334" i="2"/>
  <c r="AB334" i="2" s="1"/>
  <c r="AC334" i="2" s="1"/>
  <c r="AA420" i="2"/>
  <c r="AB420" i="2" s="1"/>
  <c r="AC420" i="2" s="1"/>
  <c r="AA546" i="2"/>
  <c r="AB546" i="2" s="1"/>
  <c r="AC546" i="2" s="1"/>
  <c r="AA695" i="2"/>
  <c r="AB695" i="2" s="1"/>
  <c r="AC695" i="2" s="1"/>
  <c r="AA513" i="2"/>
  <c r="AB513" i="2" s="1"/>
  <c r="AC513" i="2" s="1"/>
  <c r="AA217" i="2"/>
  <c r="AB217" i="2" s="1"/>
  <c r="AC217" i="2" s="1"/>
  <c r="AA558" i="2"/>
  <c r="AB558" i="2" s="1"/>
  <c r="AC558" i="2" s="1"/>
  <c r="AA410" i="2"/>
  <c r="AB410" i="2" s="1"/>
  <c r="AC410" i="2" s="1"/>
  <c r="AA424" i="2"/>
  <c r="AB424" i="2" s="1"/>
  <c r="AC424" i="2" s="1"/>
  <c r="AA724" i="2"/>
  <c r="AB724" i="2" s="1"/>
  <c r="AC724" i="2" s="1"/>
  <c r="AA498" i="2"/>
  <c r="AB498" i="2" s="1"/>
  <c r="AC498" i="2" s="1"/>
  <c r="AA353" i="2"/>
  <c r="AB353" i="2" s="1"/>
  <c r="AC353" i="2" s="1"/>
  <c r="AA403" i="2"/>
  <c r="AB403" i="2" s="1"/>
  <c r="AC403" i="2" s="1"/>
  <c r="AA289" i="2"/>
  <c r="AB289" i="2" s="1"/>
  <c r="AC289" i="2" s="1"/>
  <c r="AA623" i="2"/>
  <c r="AB623" i="2" s="1"/>
  <c r="AC623" i="2" s="1"/>
  <c r="AA501" i="2"/>
  <c r="AB501" i="2" s="1"/>
  <c r="AC501" i="2" s="1"/>
  <c r="AA491" i="2"/>
  <c r="AB491" i="2" s="1"/>
  <c r="AC491" i="2" s="1"/>
  <c r="AA606" i="2"/>
  <c r="AB606" i="2" s="1"/>
  <c r="AC606" i="2" s="1"/>
  <c r="AA495" i="2"/>
  <c r="AB495" i="2" s="1"/>
  <c r="AC495" i="2" s="1"/>
  <c r="AA658" i="2"/>
  <c r="AB658" i="2" s="1"/>
  <c r="AC658" i="2" s="1"/>
  <c r="AA340" i="2"/>
  <c r="AB340" i="2" s="1"/>
  <c r="AC340" i="2" s="1"/>
  <c r="AA273" i="2"/>
  <c r="AB273" i="2" s="1"/>
  <c r="AC273" i="2" s="1"/>
  <c r="AA399" i="2"/>
  <c r="AB399" i="2" s="1"/>
  <c r="AC399" i="2" s="1"/>
  <c r="AA294" i="2"/>
  <c r="AB294" i="2" s="1"/>
  <c r="AC294" i="2" s="1"/>
  <c r="AA382" i="2"/>
  <c r="AB382" i="2" s="1"/>
  <c r="AC382" i="2" s="1"/>
  <c r="AA767" i="2"/>
  <c r="AB767" i="2" s="1"/>
  <c r="AC767" i="2" s="1"/>
  <c r="AA230" i="2"/>
  <c r="AB230" i="2" s="1"/>
  <c r="AC230" i="2" s="1"/>
  <c r="AA670" i="2"/>
  <c r="AB670" i="2" s="1"/>
  <c r="AC670" i="2" s="1"/>
  <c r="AA630" i="2"/>
  <c r="AB630" i="2" s="1"/>
  <c r="AC630" i="2" s="1"/>
  <c r="AA653" i="2"/>
  <c r="AB653" i="2" s="1"/>
  <c r="AC653" i="2" s="1"/>
  <c r="AA154" i="2"/>
  <c r="AB154" i="2" s="1"/>
  <c r="AC154" i="2" s="1"/>
  <c r="AA689" i="2"/>
  <c r="AB689" i="2" s="1"/>
  <c r="AC689" i="2" s="1"/>
  <c r="AA557" i="2"/>
  <c r="AB557" i="2" s="1"/>
  <c r="AC557" i="2" s="1"/>
  <c r="AA524" i="2"/>
  <c r="AB524" i="2" s="1"/>
  <c r="AC524" i="2" s="1"/>
  <c r="AA333" i="2"/>
  <c r="AB333" i="2" s="1"/>
  <c r="AC333" i="2" s="1"/>
  <c r="AA344" i="2"/>
  <c r="AB344" i="2" s="1"/>
  <c r="AC344" i="2" s="1"/>
  <c r="AA462" i="2"/>
  <c r="AB462" i="2" s="1"/>
  <c r="AC462" i="2" s="1"/>
  <c r="AA543" i="2"/>
  <c r="AB543" i="2" s="1"/>
  <c r="AC543" i="2" s="1"/>
  <c r="AA595" i="2"/>
  <c r="AB595" i="2" s="1"/>
  <c r="AC595" i="2" s="1"/>
  <c r="AA300" i="2"/>
  <c r="AB300" i="2" s="1"/>
  <c r="AC300" i="2" s="1"/>
  <c r="AA659" i="2"/>
  <c r="AB659" i="2" s="1"/>
  <c r="AC659" i="2" s="1"/>
  <c r="AA366" i="2"/>
  <c r="AB366" i="2" s="1"/>
  <c r="AC366" i="2" s="1"/>
  <c r="AA743" i="2"/>
  <c r="AB743" i="2" s="1"/>
  <c r="AC743" i="2" s="1"/>
  <c r="AA309" i="2"/>
  <c r="AB309" i="2" s="1"/>
  <c r="AC309" i="2" s="1"/>
  <c r="AA415" i="2"/>
  <c r="AB415" i="2" s="1"/>
  <c r="AC415" i="2" s="1"/>
  <c r="AA631" i="2"/>
  <c r="AB631" i="2" s="1"/>
  <c r="AC631" i="2" s="1"/>
  <c r="AA508" i="2"/>
  <c r="AB508" i="2" s="1"/>
  <c r="AC508" i="2" s="1"/>
  <c r="AA503" i="2"/>
  <c r="AB503" i="2" s="1"/>
  <c r="AC503" i="2" s="1"/>
  <c r="AA592" i="2"/>
  <c r="AB592" i="2" s="1"/>
  <c r="AC592" i="2" s="1"/>
  <c r="AA352" i="2"/>
  <c r="AB352" i="2" s="1"/>
  <c r="AC352" i="2" s="1"/>
  <c r="AA246" i="2"/>
  <c r="AB246" i="2" s="1"/>
  <c r="AC246" i="2" s="1"/>
  <c r="AA70" i="2"/>
  <c r="AB70" i="2" s="1"/>
  <c r="AC70" i="2" s="1"/>
  <c r="AA471" i="2"/>
  <c r="AB471" i="2" s="1"/>
  <c r="AC471" i="2" s="1"/>
  <c r="AA675" i="2"/>
  <c r="AB675" i="2" s="1"/>
  <c r="AC675" i="2" s="1"/>
  <c r="AA362" i="2"/>
  <c r="AB362" i="2" s="1"/>
  <c r="AC362" i="2" s="1"/>
  <c r="AA383" i="2"/>
  <c r="AB383" i="2" s="1"/>
  <c r="AC383" i="2" s="1"/>
  <c r="AA209" i="2"/>
  <c r="AB209" i="2" s="1"/>
  <c r="AC209" i="2" s="1"/>
  <c r="AA165" i="2"/>
  <c r="AB165" i="2" s="1"/>
  <c r="AC165" i="2" s="1"/>
  <c r="AA754" i="2"/>
  <c r="AB754" i="2" s="1"/>
  <c r="AC754" i="2" s="1"/>
  <c r="AA169" i="2"/>
  <c r="AB169" i="2" s="1"/>
  <c r="AC169" i="2" s="1"/>
  <c r="AA656" i="2"/>
  <c r="AB656" i="2" s="1"/>
  <c r="AC656" i="2" s="1"/>
  <c r="AA729" i="2"/>
  <c r="AB729" i="2" s="1"/>
  <c r="AC729" i="2" s="1"/>
  <c r="AA474" i="2"/>
  <c r="AB474" i="2" s="1"/>
  <c r="AC474" i="2" s="1"/>
  <c r="AA563" i="2"/>
  <c r="AB563" i="2" s="1"/>
  <c r="AC563" i="2" s="1"/>
  <c r="AA126" i="2"/>
  <c r="AB126" i="2" s="1"/>
  <c r="AC126" i="2" s="1"/>
  <c r="AA453" i="2"/>
  <c r="AB453" i="2" s="1"/>
  <c r="AC453" i="2" s="1"/>
  <c r="AA452" i="2"/>
  <c r="AB452" i="2" s="1"/>
  <c r="AC452" i="2" s="1"/>
  <c r="AA149" i="2"/>
  <c r="AB149" i="2" s="1"/>
  <c r="AC149" i="2" s="1"/>
  <c r="AA499" i="2"/>
  <c r="AB499" i="2" s="1"/>
  <c r="AC499" i="2" s="1"/>
  <c r="AA241" i="2"/>
  <c r="AB241" i="2" s="1"/>
  <c r="AC241" i="2" s="1"/>
  <c r="AA522" i="2"/>
  <c r="AB522" i="2" s="1"/>
  <c r="AC522" i="2" s="1"/>
  <c r="AA587" i="2"/>
  <c r="AB587" i="2" s="1"/>
  <c r="AC587" i="2" s="1"/>
  <c r="AA628" i="2"/>
  <c r="AB628" i="2" s="1"/>
  <c r="AC628" i="2" s="1"/>
  <c r="AA378" i="2"/>
  <c r="AB378" i="2" s="1"/>
  <c r="AC378" i="2" s="1"/>
  <c r="AA712" i="2"/>
  <c r="AB712" i="2" s="1"/>
  <c r="AC712" i="2" s="1"/>
  <c r="AA484" i="2"/>
  <c r="AB484" i="2" s="1"/>
  <c r="AC484" i="2" s="1"/>
  <c r="AA266" i="2"/>
  <c r="AB266" i="2" s="1"/>
  <c r="AC266" i="2" s="1"/>
  <c r="AA738" i="2"/>
  <c r="AB738" i="2" s="1"/>
  <c r="AC738" i="2" s="1"/>
  <c r="AA629" i="2"/>
  <c r="AB629" i="2" s="1"/>
  <c r="AC629" i="2" s="1"/>
  <c r="AA616" i="2"/>
  <c r="AB616" i="2" s="1"/>
  <c r="AC616" i="2" s="1"/>
  <c r="AA697" i="2"/>
  <c r="AB697" i="2" s="1"/>
  <c r="AC697" i="2" s="1"/>
  <c r="AA351" i="2"/>
  <c r="AB351" i="2" s="1"/>
  <c r="AC351" i="2" s="1"/>
  <c r="AA260" i="2"/>
  <c r="AB260" i="2" s="1"/>
  <c r="AC260" i="2" s="1"/>
  <c r="AA302" i="2"/>
  <c r="AB302" i="2" s="1"/>
  <c r="AC302" i="2" s="1"/>
  <c r="AA338" i="2"/>
  <c r="AB338" i="2" s="1"/>
  <c r="AC338" i="2" s="1"/>
  <c r="AA163" i="2"/>
  <c r="AB163" i="2" s="1"/>
  <c r="AC163" i="2" s="1"/>
  <c r="AA342" i="2"/>
  <c r="AB342" i="2" s="1"/>
  <c r="AC342" i="2" s="1"/>
  <c r="AA584" i="2"/>
  <c r="AB584" i="2" s="1"/>
  <c r="AC584" i="2" s="1"/>
  <c r="AA699" i="2"/>
  <c r="AB699" i="2" s="1"/>
  <c r="AC699" i="2" s="1"/>
  <c r="AA223" i="2"/>
  <c r="AB223" i="2" s="1"/>
  <c r="AC223" i="2" s="1"/>
  <c r="AA538" i="2"/>
  <c r="AB538" i="2" s="1"/>
  <c r="AC538" i="2" s="1"/>
  <c r="AA459" i="2"/>
  <c r="AB459" i="2" s="1"/>
  <c r="AC459" i="2" s="1"/>
  <c r="AA363" i="2"/>
  <c r="AB363" i="2" s="1"/>
  <c r="AC363" i="2" s="1"/>
  <c r="AA395" i="2"/>
  <c r="AB395" i="2" s="1"/>
  <c r="AC395" i="2" s="1"/>
  <c r="AA341" i="2"/>
  <c r="AB341" i="2" s="1"/>
  <c r="AC341" i="2" s="1"/>
  <c r="AA304" i="2"/>
  <c r="AB304" i="2" s="1"/>
  <c r="AC304" i="2" s="1"/>
  <c r="AA271" i="2"/>
  <c r="AB271" i="2" s="1"/>
  <c r="AC271" i="2" s="1"/>
  <c r="AA730" i="2"/>
  <c r="AB730" i="2" s="1"/>
  <c r="AC730" i="2" s="1"/>
  <c r="AA657" i="2"/>
  <c r="AB657" i="2" s="1"/>
  <c r="AC657" i="2" s="1"/>
  <c r="AA594" i="2"/>
  <c r="AB594" i="2" s="1"/>
  <c r="AC594" i="2" s="1"/>
  <c r="AA328" i="2"/>
  <c r="AB328" i="2" s="1"/>
  <c r="AC328" i="2" s="1"/>
  <c r="AA371" i="2"/>
  <c r="AB371" i="2" s="1"/>
  <c r="AC371" i="2" s="1"/>
  <c r="AA389" i="2"/>
  <c r="AB389" i="2" s="1"/>
  <c r="AC389" i="2" s="1"/>
  <c r="AA298" i="2"/>
  <c r="AB298" i="2" s="1"/>
  <c r="AC298" i="2" s="1"/>
  <c r="AA265" i="2"/>
  <c r="AB265" i="2" s="1"/>
  <c r="AC265" i="2" s="1"/>
  <c r="AA310" i="2"/>
  <c r="AB310" i="2" s="1"/>
  <c r="AC310" i="2" s="1"/>
  <c r="AA121" i="2"/>
  <c r="AB121" i="2" s="1"/>
  <c r="AC121" i="2" s="1"/>
  <c r="AA263" i="2"/>
  <c r="AB263" i="2" s="1"/>
  <c r="AC263" i="2" s="1"/>
  <c r="AA687" i="2"/>
  <c r="AB687" i="2" s="1"/>
  <c r="AC687" i="2" s="1"/>
  <c r="AA755" i="2"/>
  <c r="AB755" i="2" s="1"/>
  <c r="AC755" i="2" s="1"/>
  <c r="AA288" i="2"/>
  <c r="AB288" i="2" s="1"/>
  <c r="AC288" i="2" s="1"/>
  <c r="AA292" i="2"/>
  <c r="AB292" i="2" s="1"/>
  <c r="AC292" i="2" s="1"/>
  <c r="AA753" i="2"/>
  <c r="AB753" i="2" s="1"/>
  <c r="AC753" i="2" s="1"/>
  <c r="AA267" i="2"/>
  <c r="AB267" i="2" s="1"/>
  <c r="AC267" i="2" s="1"/>
  <c r="AA346" i="2"/>
  <c r="AB346" i="2" s="1"/>
  <c r="AC346" i="2" s="1"/>
  <c r="AA477" i="2"/>
  <c r="AB477" i="2" s="1"/>
  <c r="AC477" i="2" s="1"/>
  <c r="AA205" i="2"/>
  <c r="AB205" i="2" s="1"/>
  <c r="AC205" i="2" s="1"/>
  <c r="AA405" i="2"/>
  <c r="AB405" i="2" s="1"/>
  <c r="AC405" i="2" s="1"/>
  <c r="AA542" i="2"/>
  <c r="AB542" i="2" s="1"/>
  <c r="AC542" i="2" s="1"/>
  <c r="AA392" i="2"/>
  <c r="AB392" i="2" s="1"/>
  <c r="AC392" i="2" s="1"/>
  <c r="AA613" i="2"/>
  <c r="AB613" i="2" s="1"/>
  <c r="AC613" i="2" s="1"/>
  <c r="AA359" i="2"/>
  <c r="AB359" i="2" s="1"/>
  <c r="AC359" i="2" s="1"/>
  <c r="AA550" i="2"/>
  <c r="AB550" i="2" s="1"/>
  <c r="AC550" i="2" s="1"/>
  <c r="AA237" i="2"/>
  <c r="AB237" i="2" s="1"/>
  <c r="AC237" i="2" s="1"/>
  <c r="AA231" i="2"/>
  <c r="AB231" i="2" s="1"/>
  <c r="AC231" i="2" s="1"/>
  <c r="AA473" i="2"/>
  <c r="AB473" i="2" s="1"/>
  <c r="AC473" i="2" s="1"/>
  <c r="AA512" i="2"/>
  <c r="AB512" i="2" s="1"/>
  <c r="AC512" i="2" s="1"/>
  <c r="AA576" i="2"/>
  <c r="AB576" i="2" s="1"/>
  <c r="AC576" i="2" s="1"/>
  <c r="AA655" i="2"/>
  <c r="AB655" i="2" s="1"/>
  <c r="AC655" i="2" s="1"/>
  <c r="AA612" i="2"/>
  <c r="AB612" i="2" s="1"/>
  <c r="AC612" i="2" s="1"/>
  <c r="AA249" i="2"/>
  <c r="AB249" i="2" s="1"/>
  <c r="AC249" i="2" s="1"/>
  <c r="AA710" i="2"/>
  <c r="AB710" i="2" s="1"/>
  <c r="AC710" i="2" s="1"/>
  <c r="AA407" i="2"/>
  <c r="AB407" i="2" s="1"/>
  <c r="AC407" i="2" s="1"/>
  <c r="AA465" i="2"/>
  <c r="AB465" i="2" s="1"/>
  <c r="AC465" i="2" s="1"/>
  <c r="AA714" i="2"/>
  <c r="AB714" i="2" s="1"/>
  <c r="AC714" i="2" s="1"/>
  <c r="AA411" i="2"/>
  <c r="AB411" i="2" s="1"/>
  <c r="AC411" i="2" s="1"/>
  <c r="AA194" i="2"/>
  <c r="AB194" i="2" s="1"/>
  <c r="AC194" i="2" s="1"/>
  <c r="AA77" i="2"/>
  <c r="AB77" i="2" s="1"/>
  <c r="AC77" i="2" s="1"/>
  <c r="AA593" i="2"/>
  <c r="AB593" i="2" s="1"/>
  <c r="AC593" i="2" s="1"/>
  <c r="AA221" i="2"/>
  <c r="AB221" i="2" s="1"/>
  <c r="AC221" i="2" s="1"/>
  <c r="AA259" i="2"/>
  <c r="AB259" i="2" s="1"/>
  <c r="AC259" i="2" s="1"/>
  <c r="AA570" i="2"/>
  <c r="AB570" i="2" s="1"/>
  <c r="AC570" i="2" s="1"/>
  <c r="AA419" i="2"/>
  <c r="AB419" i="2" s="1"/>
  <c r="AC419" i="2" s="1"/>
  <c r="AA375" i="2"/>
  <c r="AB375" i="2" s="1"/>
  <c r="AC375" i="2" s="1"/>
  <c r="AA455" i="2"/>
  <c r="AB455" i="2" s="1"/>
  <c r="AC455" i="2" s="1"/>
  <c r="AA621" i="2"/>
  <c r="AB621" i="2" s="1"/>
  <c r="AC621" i="2" s="1"/>
  <c r="AA354" i="2"/>
  <c r="AB354" i="2" s="1"/>
  <c r="AC354" i="2" s="1"/>
  <c r="AA602" i="2"/>
  <c r="AB602" i="2" s="1"/>
  <c r="AC602" i="2" s="1"/>
  <c r="AA467" i="2"/>
  <c r="AB467" i="2" s="1"/>
  <c r="AC467" i="2" s="1"/>
  <c r="AA227" i="2"/>
  <c r="AB227" i="2" s="1"/>
  <c r="AC227" i="2" s="1"/>
  <c r="AA485" i="2"/>
  <c r="AB485" i="2" s="1"/>
  <c r="AC485" i="2" s="1"/>
  <c r="AA207" i="2"/>
  <c r="AB207" i="2" s="1"/>
  <c r="AC207" i="2" s="1"/>
  <c r="AA554" i="2"/>
  <c r="AB554" i="2" s="1"/>
  <c r="AC554" i="2" s="1"/>
  <c r="AA692" i="2"/>
  <c r="AB692" i="2" s="1"/>
  <c r="AC692" i="2" s="1"/>
  <c r="AA361" i="2"/>
  <c r="AB361" i="2" s="1"/>
  <c r="AC361" i="2" s="1"/>
  <c r="AA746" i="2"/>
  <c r="AB746" i="2" s="1"/>
  <c r="AC746" i="2" s="1"/>
  <c r="AA275" i="2"/>
  <c r="AB275" i="2" s="1"/>
  <c r="AC275" i="2" s="1"/>
  <c r="AA515" i="2"/>
  <c r="AB515" i="2" s="1"/>
  <c r="AC515" i="2" s="1"/>
  <c r="AA216" i="2"/>
  <c r="AB216" i="2" s="1"/>
  <c r="AC216" i="2" s="1"/>
  <c r="AA413" i="2"/>
  <c r="AB413" i="2" s="1"/>
  <c r="AC413" i="2" s="1"/>
  <c r="AA322" i="2"/>
  <c r="AB322" i="2" s="1"/>
  <c r="AC322" i="2" s="1"/>
  <c r="AA708" i="2"/>
  <c r="AB708" i="2" s="1"/>
  <c r="AC708" i="2" s="1"/>
  <c r="AA181" i="2"/>
  <c r="AB181" i="2" s="1"/>
  <c r="AC181" i="2" s="1"/>
  <c r="AA8" i="2"/>
  <c r="AB8" i="2" s="1"/>
  <c r="AC8" i="2" s="1"/>
  <c r="AA6" i="2"/>
  <c r="AB6" i="2" s="1"/>
  <c r="AC6" i="2" s="1"/>
  <c r="AA16" i="2"/>
  <c r="AB16" i="2" s="1"/>
  <c r="AC16" i="2" s="1"/>
  <c r="AA22" i="2"/>
  <c r="AB22" i="2" s="1"/>
  <c r="AC22" i="2" s="1"/>
  <c r="AA32" i="2"/>
  <c r="AB32" i="2" s="1"/>
  <c r="AC32" i="2" s="1"/>
  <c r="AA25" i="2"/>
  <c r="AB25" i="2" s="1"/>
  <c r="AC25" i="2" s="1"/>
  <c r="AA24" i="2"/>
  <c r="AB24" i="2" s="1"/>
  <c r="AC24" i="2" s="1"/>
  <c r="AA19" i="2"/>
  <c r="AB19" i="2" s="1"/>
  <c r="AC19" i="2" s="1"/>
  <c r="AA37" i="2"/>
  <c r="AB37" i="2" s="1"/>
  <c r="AC37" i="2" s="1"/>
  <c r="AA48" i="2"/>
  <c r="AB48" i="2" s="1"/>
  <c r="AC48" i="2" s="1"/>
  <c r="AA31" i="2"/>
  <c r="AB31" i="2" s="1"/>
  <c r="AC31" i="2" s="1"/>
  <c r="AA21" i="2"/>
  <c r="AB21" i="2" s="1"/>
  <c r="AC21" i="2" s="1"/>
  <c r="AA18" i="2"/>
  <c r="AB18" i="2" s="1"/>
  <c r="AC18" i="2" s="1"/>
  <c r="AA23" i="2"/>
  <c r="AB23" i="2" s="1"/>
  <c r="AC23" i="2" s="1"/>
  <c r="AA5" i="2"/>
  <c r="AB5" i="2" s="1"/>
  <c r="AC5" i="2" s="1"/>
  <c r="AA7" i="2"/>
  <c r="AB7" i="2" s="1"/>
  <c r="AC7" i="2" s="1"/>
  <c r="AA12" i="2"/>
  <c r="AB12" i="2" s="1"/>
  <c r="AC12" i="2" s="1"/>
  <c r="AA20" i="2"/>
  <c r="AB20" i="2" s="1"/>
  <c r="AC20" i="2" s="1"/>
  <c r="AA17" i="2"/>
  <c r="AB17" i="2" s="1"/>
  <c r="AC17" i="2" s="1"/>
  <c r="AA9" i="2"/>
  <c r="AB9" i="2" s="1"/>
  <c r="AC9" i="2" s="1"/>
  <c r="AA14" i="2"/>
  <c r="AB14" i="2" s="1"/>
  <c r="AC14" i="2" s="1"/>
  <c r="AA13" i="2"/>
  <c r="AB13" i="2" s="1"/>
  <c r="AC13" i="2" s="1"/>
  <c r="AA15" i="2"/>
  <c r="AB15" i="2" s="1"/>
  <c r="AC15" i="2" s="1"/>
  <c r="AA10" i="2"/>
  <c r="AB10" i="2" s="1"/>
  <c r="AC10" i="2" s="1"/>
  <c r="AA11" i="2"/>
  <c r="AB11" i="2" s="1"/>
  <c r="AC11" i="2" s="1"/>
  <c r="AA768" i="2"/>
  <c r="AB768" i="2" s="1"/>
  <c r="AC768" i="2" s="1"/>
  <c r="AA688" i="2"/>
  <c r="AB688" i="2" s="1"/>
  <c r="AC688" i="2" s="1"/>
  <c r="AA661" i="2"/>
  <c r="AB661" i="2" s="1"/>
  <c r="AC661" i="2" s="1"/>
  <c r="AA772" i="2"/>
  <c r="AB772" i="2" s="1"/>
  <c r="AC772" i="2" s="1"/>
  <c r="AA368" i="2"/>
  <c r="AB368" i="2" s="1"/>
  <c r="AC368" i="2" s="1"/>
  <c r="AA770" i="2"/>
  <c r="AB770" i="2" s="1"/>
  <c r="AC770" i="2" s="1"/>
  <c r="AA539" i="2"/>
  <c r="AB539" i="2" s="1"/>
  <c r="AC539" i="2" s="1"/>
  <c r="AA324" i="2"/>
  <c r="AB324" i="2" s="1"/>
  <c r="AC324" i="2" s="1"/>
  <c r="AA536" i="2"/>
  <c r="AB536" i="2" s="1"/>
  <c r="AC536" i="2" s="1"/>
  <c r="AA316" i="2"/>
  <c r="AB316" i="2" s="1"/>
  <c r="AC316" i="2" s="1"/>
  <c r="AA771" i="2"/>
  <c r="AB771" i="2" s="1"/>
  <c r="AC77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<sst xmlns="http://schemas.openxmlformats.org/spreadsheetml/2006/main" count="5898" uniqueCount="1628">
  <si>
    <t>Symbol</t>
  </si>
  <si>
    <t>Issuer Name</t>
  </si>
  <si>
    <t>BOND TYPE</t>
  </si>
  <si>
    <t>Issue date</t>
  </si>
  <si>
    <t>Maturity date</t>
  </si>
  <si>
    <t>Face value</t>
  </si>
  <si>
    <t>Face value - Currency</t>
  </si>
  <si>
    <t>Ask Price</t>
  </si>
  <si>
    <t>Price - Currency</t>
  </si>
  <si>
    <t>Price % of face value</t>
  </si>
  <si>
    <t>Volume 1 day</t>
  </si>
  <si>
    <t>Current coupon %</t>
  </si>
  <si>
    <t>Coupon frequency</t>
  </si>
  <si>
    <t>Term to maturity</t>
  </si>
  <si>
    <t>Current yield % (Coupon/Current Ask Price)</t>
  </si>
  <si>
    <t>S&amp;P rating</t>
  </si>
  <si>
    <t>Exchange</t>
  </si>
  <si>
    <t>10KAFL26A</t>
  </si>
  <si>
    <t>KLM Axiva Finvest Ltd. 10.25% 07-AUG-2026</t>
  </si>
  <si>
    <t>Corporate</t>
  </si>
  <si>
    <t>INR</t>
  </si>
  <si>
    <t>Annual</t>
  </si>
  <si>
    <t>BSE</t>
  </si>
  <si>
    <t>925SCL28C</t>
  </si>
  <si>
    <t>Sammaan Capital Limited 10.15% 26-SEP-2028</t>
  </si>
  <si>
    <t>B+</t>
  </si>
  <si>
    <t>1030SFIL28</t>
  </si>
  <si>
    <t>Sammaan Finserve Ltd. 10.3% 02-FEB-2028</t>
  </si>
  <si>
    <t>11NHFL35</t>
  </si>
  <si>
    <t>Nido Home Finance Ltd. 11.0% 06-JAN-2035</t>
  </si>
  <si>
    <t>990SCL28</t>
  </si>
  <si>
    <t>Sammaan Capital Limited 9.9% 19-MAR-2028</t>
  </si>
  <si>
    <t>990SCL26D</t>
  </si>
  <si>
    <t>Sammaan Capital Limited 9.9% 23-MAR-2026</t>
  </si>
  <si>
    <t>965SCL28</t>
  </si>
  <si>
    <t>Sammaan Capital Limited 9.65% 23-MAR-2028</t>
  </si>
  <si>
    <t>1175IFL26</t>
  </si>
  <si>
    <t>ICL Fincorp Ltd. 11.75% 19-APR-2026</t>
  </si>
  <si>
    <t>1015SCL28A</t>
  </si>
  <si>
    <t>Sammaan Capital Limited 10.15% 23-MAR-2028</t>
  </si>
  <si>
    <t>935MMFSL29</t>
  </si>
  <si>
    <t>Mahindra &amp; Mahindra Financial Services Ltd. 9.35% 18-JAN-2029</t>
  </si>
  <si>
    <t>12CVL25</t>
  </si>
  <si>
    <t>Crest Ventures Limited 12.0% 20-DEC-2025</t>
  </si>
  <si>
    <t>Quarterly</t>
  </si>
  <si>
    <t>9SCL27</t>
  </si>
  <si>
    <t>Sammaan Capital Limited 9.0% 01-AUG-2027</t>
  </si>
  <si>
    <t>1075SCFL34</t>
  </si>
  <si>
    <t>Sammaan Capital Limited 10.75% 26-MAR-2034</t>
  </si>
  <si>
    <t>1025KAF27A</t>
  </si>
  <si>
    <t>KLM Axiva Finvest Ltd. 10.25% 27-JUL-2027</t>
  </si>
  <si>
    <t>675PFL31</t>
  </si>
  <si>
    <t>Piramal Finance Limited 6.75% 26-SEP-2031</t>
  </si>
  <si>
    <t>Semi-annual</t>
  </si>
  <si>
    <t>NR</t>
  </si>
  <si>
    <t>966SFIL25A</t>
  </si>
  <si>
    <t>Sammaan Finserve Ltd. 10.05% 02-FEB-2026</t>
  </si>
  <si>
    <t>10SMCGSL26</t>
  </si>
  <si>
    <t>SMC Global Securities Limited 10.0% 07-AUG-2026</t>
  </si>
  <si>
    <t>104ECL29A</t>
  </si>
  <si>
    <t>ECL Finance Limited 10.4% 23-MAY-2029</t>
  </si>
  <si>
    <t>1102NFL26</t>
  </si>
  <si>
    <t>Navi Finserv Limited 11.02% 18-JUL-2026</t>
  </si>
  <si>
    <t>990SCL27</t>
  </si>
  <si>
    <t>Sammaan Capital Limited 9.9% 26-MAR-2027</t>
  </si>
  <si>
    <t>920MFCL27</t>
  </si>
  <si>
    <t>Muthoot Fincorp Ltd. 9.2% 16-JUL-2027</t>
  </si>
  <si>
    <t>1025NWFL30</t>
  </si>
  <si>
    <t>Nuvama Wealth Finance Ltd. 10.25% 05-FEB-2030</t>
  </si>
  <si>
    <t>85PFL26A</t>
  </si>
  <si>
    <t>Poonawalla Fincorp Limited 10.75% 06-MAY-2029</t>
  </si>
  <si>
    <t>1030ICFL27</t>
  </si>
  <si>
    <t>IndoStar Capital Finance Limited 10.3% 25-SEP-2027</t>
  </si>
  <si>
    <t>965MFL28A</t>
  </si>
  <si>
    <t>Muthoot Fincorp Ltd. 9.65% 19-MAY-2028</t>
  </si>
  <si>
    <t>102SMCGS27</t>
  </si>
  <si>
    <t>SMC Global Securities Limited 10.2% 07-AUG-2027</t>
  </si>
  <si>
    <t>950EFSL27A</t>
  </si>
  <si>
    <t>Edelweiss Financial Services Limited 9.5% 30-APR-2027</t>
  </si>
  <si>
    <t>10IIFLSF27</t>
  </si>
  <si>
    <t>IIFL Samasta Finance Limited 10.0% 21-JUN-2027</t>
  </si>
  <si>
    <t>965AEL27</t>
  </si>
  <si>
    <t>Adani Enterprises Limited 9.65% 12-SEP-2027</t>
  </si>
  <si>
    <t>93ARKA26</t>
  </si>
  <si>
    <t>Arka Fincap Ltd. 9.3% 27-DEC-2026</t>
  </si>
  <si>
    <t>10NHFL28A</t>
  </si>
  <si>
    <t>Nido Home Finance Ltd. 10.0% 03-APR-2028</t>
  </si>
  <si>
    <t>986VCL27</t>
  </si>
  <si>
    <t>Vivriti Capital Ltd. 9.86% 16-APR-2027</t>
  </si>
  <si>
    <t>10EFCL27</t>
  </si>
  <si>
    <t>Edel Finance Company Limited 10.0% 17-DEC-2027</t>
  </si>
  <si>
    <t>915AEL28</t>
  </si>
  <si>
    <t>Adani Enterprises Limited 9.15% 17-JUL-2028</t>
  </si>
  <si>
    <t>1090NFL26</t>
  </si>
  <si>
    <t>Navi Finserv Limited 10.9% 13-JUN-2026</t>
  </si>
  <si>
    <t>775MFLTD25</t>
  </si>
  <si>
    <t>Muthoot Finance Limited 7.75% 04-OCT-2025</t>
  </si>
  <si>
    <t>BB+</t>
  </si>
  <si>
    <t>965IFSL26</t>
  </si>
  <si>
    <t>InCred Financial Services Limited 9.65% 02-MAY-2026</t>
  </si>
  <si>
    <t>Face Value</t>
  </si>
  <si>
    <t>Purchase Price</t>
  </si>
  <si>
    <t>Current Price</t>
  </si>
  <si>
    <t>Position Size</t>
  </si>
  <si>
    <t>Purchase Date</t>
  </si>
  <si>
    <t>Days Held</t>
  </si>
  <si>
    <t>Accrued Interest</t>
  </si>
  <si>
    <t>Unrealized GL</t>
  </si>
  <si>
    <t>%Gain/Loss</t>
  </si>
  <si>
    <t>Modified Duration</t>
  </si>
  <si>
    <t>IRR</t>
  </si>
  <si>
    <t>Annualized Yield</t>
  </si>
  <si>
    <t>INPUTS</t>
  </si>
  <si>
    <t>CALCULATED FIELDS</t>
  </si>
  <si>
    <t>Step 2</t>
  </si>
  <si>
    <t>Step 3</t>
  </si>
  <si>
    <t>Step 6</t>
  </si>
  <si>
    <t>Step 7</t>
  </si>
  <si>
    <t>Step 4</t>
  </si>
  <si>
    <t>bps shock input --&gt;</t>
  </si>
  <si>
    <t>Term to Maturity (Years)</t>
  </si>
  <si>
    <t>Coupon Frequency2</t>
  </si>
  <si>
    <t>Total No. of Coupons</t>
  </si>
  <si>
    <t>Coupon Amount</t>
  </si>
  <si>
    <t>Yield (Annualised)</t>
  </si>
  <si>
    <t>Yield Cluster</t>
  </si>
  <si>
    <t>Macaulay Duration in Years</t>
  </si>
  <si>
    <t>Modified Duration in Years</t>
  </si>
  <si>
    <t>Average Cluster Yield</t>
  </si>
  <si>
    <t>Calculated Bond Price</t>
  </si>
  <si>
    <t>Rich/Cheap</t>
  </si>
  <si>
    <t>P (+ shock)</t>
  </si>
  <si>
    <t>P (-shock)</t>
  </si>
  <si>
    <t>Convexity Estimation</t>
  </si>
  <si>
    <t>955SCL25</t>
  </si>
  <si>
    <t>Sammaan Capital Limited 9.55% 28-DEC-2025</t>
  </si>
  <si>
    <t>990SCL26</t>
  </si>
  <si>
    <t>Sammaan Capital Limited 9.9% 26-SEP-2026</t>
  </si>
  <si>
    <t>1015SCL28</t>
  </si>
  <si>
    <t>Sammaan Capital Limited 10.15% 09-NOV-2028</t>
  </si>
  <si>
    <t>1175NFP27</t>
  </si>
  <si>
    <t>Namdev Finvest Pvt Ltd. 11.75% 05-AUG-2027</t>
  </si>
  <si>
    <t>1025SFIL26</t>
  </si>
  <si>
    <t>Sammaan Finserve Ltd. 10.25% 25-APR-2026</t>
  </si>
  <si>
    <t>1003SFIL28</t>
  </si>
  <si>
    <t>Sammaan Finserve Ltd. 10.5% 25-APR-2028</t>
  </si>
  <si>
    <t>1030IFSL26</t>
  </si>
  <si>
    <t>InCred Financial Services Limited 10.3% 10-NOV-2026</t>
  </si>
  <si>
    <t>1075SCL33</t>
  </si>
  <si>
    <t>Sammaan Capital Limited 10.75% 27-DEC-2033</t>
  </si>
  <si>
    <t>1175AIHF27</t>
  </si>
  <si>
    <t>AVIOM India Housing Finance Pvt Ltd. 11.75% 31-JAN-2027</t>
  </si>
  <si>
    <t>1225IFL27</t>
  </si>
  <si>
    <t>ICL Fincorp Ltd. 12.25% 19-APR-2027</t>
  </si>
  <si>
    <t>1135VFPL27</t>
  </si>
  <si>
    <t>Thirumeni Finance Pvt Ltd. 11.35% 27-SEP-2027</t>
  </si>
  <si>
    <t>894SCL27</t>
  </si>
  <si>
    <t>Sammaan Capital Limited 9.8% 28-DEC-2027</t>
  </si>
  <si>
    <t>11KAFL30</t>
  </si>
  <si>
    <t>KLM Axiva Finvest Ltd. 11.0% 27-JUL-2030</t>
  </si>
  <si>
    <t>1015SCL28B</t>
  </si>
  <si>
    <t>Sammaan Capital Limited 10.15% 27-JUL-2028</t>
  </si>
  <si>
    <t>975SCL35</t>
  </si>
  <si>
    <t>Sammaan Capital Limited 9.75% 19-JUN-2035</t>
  </si>
  <si>
    <t>121CCIL30E</t>
  </si>
  <si>
    <t>Chemmanur Credits &amp; Investments Ltd. 12.1% 16-JAN-2030</t>
  </si>
  <si>
    <t>1225DCCL26</t>
  </si>
  <si>
    <t>Dar Credit &amp; Capital Limited 12.25% 10-FEB-2026</t>
  </si>
  <si>
    <t>10NHFL28</t>
  </si>
  <si>
    <t>Nido Home Finance Ltd. 10.0% 06-JAN-2028</t>
  </si>
  <si>
    <t>1075SCL34T</t>
  </si>
  <si>
    <t>Sammaan Capital Limited 10.75% 27-DEC-2034</t>
  </si>
  <si>
    <t>1075SCL34C</t>
  </si>
  <si>
    <t>Sammaan Capital Limited 10.75% 25-SEP-2034</t>
  </si>
  <si>
    <t>12FFSL27</t>
  </si>
  <si>
    <t>Finkurve Financial Services Limited 12.0% 18-DEC-2027</t>
  </si>
  <si>
    <t>129SMP26</t>
  </si>
  <si>
    <t>Svatantra Microfin Private Limited 12.9% 30-SEP-2026</t>
  </si>
  <si>
    <t>1025NBSP26</t>
  </si>
  <si>
    <t>Nirmal Bang Securities Pvt Ltd. 10.25% 12-DEC-2026</t>
  </si>
  <si>
    <t>1150KLM26</t>
  </si>
  <si>
    <t>KLM Axiva Finvest Ltd. 11.5% 29-JUL-2026</t>
  </si>
  <si>
    <t>1175CSFB30</t>
  </si>
  <si>
    <t>Capital Small Finance Bank Limited 11.75% 30-MAR-2030</t>
  </si>
  <si>
    <t>1206FCL25</t>
  </si>
  <si>
    <t>Finstars Capital Ltd. 12.06% 13-OCT-2025</t>
  </si>
  <si>
    <t>957SCL30</t>
  </si>
  <si>
    <t>Sammaan Capital Limited 10.5% 26-SEP-2030</t>
  </si>
  <si>
    <t>1096MECL31</t>
  </si>
  <si>
    <t>Meghalaya Energy Corp. Ltd. 10.96% 17-FEB-2031</t>
  </si>
  <si>
    <t>1050SCFL31</t>
  </si>
  <si>
    <t>Sammaan Capital Limited 10.5% 26-MAR-2031</t>
  </si>
  <si>
    <t>10KAFL26</t>
  </si>
  <si>
    <t>KLM Axiva Finvest Ltd. 10.0% 11-SEP-2026</t>
  </si>
  <si>
    <t>1015SCFL29</t>
  </si>
  <si>
    <t>Sammaan Capital Limited 10.15% 26-MAR-2029</t>
  </si>
  <si>
    <t>962APSB25A</t>
  </si>
  <si>
    <t>Andhra Pradesh State Beverages Corporation Limited 9.62% 28-NOV-2025</t>
  </si>
  <si>
    <t>11EFSL34</t>
  </si>
  <si>
    <t>Edelweiss Financial Services Limited 11.0% 26-JUL-2034</t>
  </si>
  <si>
    <t>1110ESAF34</t>
  </si>
  <si>
    <t>ESAF Small Finance Bank Limited 11.1% 28-FEB-2034</t>
  </si>
  <si>
    <t>1115CCI28D</t>
  </si>
  <si>
    <t>Chemmanur Credits &amp; Investments Ltd. 11.15% 17-JAN-2028</t>
  </si>
  <si>
    <t>1075SCL33A</t>
  </si>
  <si>
    <t>Sammaan Capital Limited 10.75% 26-SEP-2033</t>
  </si>
  <si>
    <t>11KAFL29</t>
  </si>
  <si>
    <t>KLM Axiva Finvest Ltd. 11.0% 07-AUG-2029</t>
  </si>
  <si>
    <t>995SCL2035</t>
  </si>
  <si>
    <t>Sammaan Capital Limited 9.95% 01-AUG-2035</t>
  </si>
  <si>
    <t>1050KLMA27</t>
  </si>
  <si>
    <t>KLM Axiva Finvest Ltd. 10.5% 03-DEC-2027</t>
  </si>
  <si>
    <t>108SFL26</t>
  </si>
  <si>
    <t>Satin Finserv Ltd. 10.8% 30-AUG-2026</t>
  </si>
  <si>
    <t>11NFL26</t>
  </si>
  <si>
    <t>Namra Finance Limited 11.0% 24-MAY-2026</t>
  </si>
  <si>
    <t>11EFSL35</t>
  </si>
  <si>
    <t>Edelweiss Financial Services Limited 11.0% 24-JAN-2035</t>
  </si>
  <si>
    <t>11NHFL35A</t>
  </si>
  <si>
    <t>Nido Home Finance Ltd. 11.0% 03-APR-2035</t>
  </si>
  <si>
    <t>11KLMAFL29</t>
  </si>
  <si>
    <t>KLM Axiva Finvest Ltd. 11.0% 03-DEC-2029</t>
  </si>
  <si>
    <t>1075SCL35</t>
  </si>
  <si>
    <t>Sammaan Capital Limited 10.75% 19-MAR-2035</t>
  </si>
  <si>
    <t>11EFSL35H</t>
  </si>
  <si>
    <t>Edelweiss Financial Services Limited 11.0% 30-APR-2035</t>
  </si>
  <si>
    <t>9SCL26A</t>
  </si>
  <si>
    <t>Sammaan Capital Limited 9.0% 30-JUN-2026</t>
  </si>
  <si>
    <t>1050EFSL35</t>
  </si>
  <si>
    <t>Edelweiss Financial Services Limited 10.5% 24-JUL-2035</t>
  </si>
  <si>
    <t>1075SSFL26</t>
  </si>
  <si>
    <t>Spandana Sphoorty Financial Limited 10.75% 04-SEP-2026</t>
  </si>
  <si>
    <t>1075SCL34</t>
  </si>
  <si>
    <t>Sammaan Capital Limited 10.75% 31-MAY-2034</t>
  </si>
  <si>
    <t>12IML26A</t>
  </si>
  <si>
    <t>Indel Money Pvt Ltd. 12.0% 24-NOV-2026</t>
  </si>
  <si>
    <t>975HLFL26</t>
  </si>
  <si>
    <t>Hinduja Leyland Finance Limited 9.75% 18-AUG-2026</t>
  </si>
  <si>
    <t>1125KAFL27</t>
  </si>
  <si>
    <t>KLM Axiva Finvest Ltd. 11.25% 16-MAR-2027</t>
  </si>
  <si>
    <t>11USFBL31</t>
  </si>
  <si>
    <t>Utkarsh Small Finance Bank Limited 11.0% 28-JUN-2031</t>
  </si>
  <si>
    <t>990SCL27B</t>
  </si>
  <si>
    <t>Sammaan Capital Limited 9.9% 25-SEP-2027</t>
  </si>
  <si>
    <t>1110ESFB31</t>
  </si>
  <si>
    <t>ESAF Small Finance Bank Limited 11.1% 20-APR-2031</t>
  </si>
  <si>
    <t>1045EFS34A</t>
  </si>
  <si>
    <t>Edelweiss Financial Services Limited 10.45% 29-APR-2034</t>
  </si>
  <si>
    <t>1175ICLF25</t>
  </si>
  <si>
    <t>ICL Fincorp Ltd. 11.75% 12-DEC-2025</t>
  </si>
  <si>
    <t>1085WBSE26</t>
  </si>
  <si>
    <t>West Bengal State Electricity Distribution Company Limited 10.85% 04-AUG-2026</t>
  </si>
  <si>
    <t>1081BHG28</t>
  </si>
  <si>
    <t>Bamboo Hotel &amp; Global Centre (Delhi) Private Limited 10.81% 31-JAN-2028</t>
  </si>
  <si>
    <t>11EFSL35A</t>
  </si>
  <si>
    <t>105EFSL35</t>
  </si>
  <si>
    <t>11EFSL34A</t>
  </si>
  <si>
    <t>1045EFS34</t>
  </si>
  <si>
    <t>980SCL33</t>
  </si>
  <si>
    <t>Sammaan Capital Limited 10.75% 09-NOV-2033</t>
  </si>
  <si>
    <t>1075MHFL35</t>
  </si>
  <si>
    <t>Nido Home Finance Ltd. 10.75% 02-JUL-2035</t>
  </si>
  <si>
    <t>835SCL23A</t>
  </si>
  <si>
    <t>Sammaan Capital Limited 10.5% 27-DEC-2030</t>
  </si>
  <si>
    <t>11ESFB30</t>
  </si>
  <si>
    <t>ESAF Small Finance Bank Limited 11.0% 20-APR-2030</t>
  </si>
  <si>
    <t>1030NHFL30</t>
  </si>
  <si>
    <t>Nido Home Finance Ltd. 10.3% 02-JUL-2030</t>
  </si>
  <si>
    <t>1040ERFL27</t>
  </si>
  <si>
    <t>Edelweiss Retail Finance Limited 10.4% 18-MAR-2027</t>
  </si>
  <si>
    <t>10EFSL28C</t>
  </si>
  <si>
    <t>Edelweiss Financial Services Limited 10.0% 30-APR-2028</t>
  </si>
  <si>
    <t>1050SCL31</t>
  </si>
  <si>
    <t>Sammaan Capital Limited 10.5% 31-MAY-2031</t>
  </si>
  <si>
    <t>11EFSL35G</t>
  </si>
  <si>
    <t>1075NHFL34</t>
  </si>
  <si>
    <t>Nido Home Finance Ltd. 10.75% 03-JUL-2034</t>
  </si>
  <si>
    <t>1075NFL25</t>
  </si>
  <si>
    <t>Navi Finserv Limited 10.75% 18-OCT-2025</t>
  </si>
  <si>
    <t>1075KLMA28</t>
  </si>
  <si>
    <t>KLM Axiva Finvest Ltd. 10.75% 09-MAR-2028</t>
  </si>
  <si>
    <t>13SCNL26</t>
  </si>
  <si>
    <t>Satin Creditcare Network Limited 13.0% 11-SEP-2026</t>
  </si>
  <si>
    <t>985SCL32</t>
  </si>
  <si>
    <t>Sammaan Capital Limited 9.85% 01-AUG-2032</t>
  </si>
  <si>
    <t>1075NBSP26</t>
  </si>
  <si>
    <t>Nirmal Bang Securities Pvt Ltd. 10.75% 13-AUG-2026</t>
  </si>
  <si>
    <t>1010EFS29A</t>
  </si>
  <si>
    <t>Edelweiss Financial Services Limited 10.1% 29-APR-2029</t>
  </si>
  <si>
    <t>1050EFSL29</t>
  </si>
  <si>
    <t>Edelweiss Financial Services Limited 10.5% 26-JUL-2029</t>
  </si>
  <si>
    <t>1015SCL29B</t>
  </si>
  <si>
    <t>Sammaan Capital Limited 10.15% 25-SEP-2029</t>
  </si>
  <si>
    <t>1045EFS33</t>
  </si>
  <si>
    <t>Edelweiss Financial Services Limited 10.45% 21-JUL-2033</t>
  </si>
  <si>
    <t>836PGCIL29</t>
  </si>
  <si>
    <t>Power Grid Corporation of India Limited 8.36% 07-JAN-2029</t>
  </si>
  <si>
    <t>BBB</t>
  </si>
  <si>
    <t>912CFSL29</t>
  </si>
  <si>
    <t>Credila Financial Services Limited 9.12% 06-JUN-2029</t>
  </si>
  <si>
    <t>11HFL26</t>
  </si>
  <si>
    <t>Hedge Finance Ltd. 11.0% 18-MAR-2026</t>
  </si>
  <si>
    <t>975MFL29A</t>
  </si>
  <si>
    <t>Muthoot Fincorp Ltd. 9.75% 31-JAN-2029</t>
  </si>
  <si>
    <t>1050IIFL29</t>
  </si>
  <si>
    <t>IIFL Samasta Finance Limited 10.5% 21-JUN-2029</t>
  </si>
  <si>
    <t>1119NFL27</t>
  </si>
  <si>
    <t>Navi Finserv Limited 11.19% 13-MAR-2027</t>
  </si>
  <si>
    <t>1040SCNL27</t>
  </si>
  <si>
    <t>Satin Creditcare Network Limited 10.4% 30-APR-2027</t>
  </si>
  <si>
    <t>1050EFS30E</t>
  </si>
  <si>
    <t>Edelweiss Financial Services Limited 10.5% 30-APR-2030</t>
  </si>
  <si>
    <t>1045EFS33B</t>
  </si>
  <si>
    <t>Edelweiss Financial Services Limited 10.45% 27-APR-2033</t>
  </si>
  <si>
    <t>1164MECL29</t>
  </si>
  <si>
    <t>Meghalaya Energy Corp. Ltd. 11.64% 10-JUN-2029</t>
  </si>
  <si>
    <t>1101MECL30</t>
  </si>
  <si>
    <t>Meghalaya Energy Corp. Ltd. 11.01% 20-DEC-2030</t>
  </si>
  <si>
    <t>1075NIDO34</t>
  </si>
  <si>
    <t>Nido Home Finance Ltd. 10.75% 01-MAR-2034</t>
  </si>
  <si>
    <t>1075IFC26A</t>
  </si>
  <si>
    <t>IFCI Limited 10.75% 01-AUG-2026</t>
  </si>
  <si>
    <t>92SFIL28</t>
  </si>
  <si>
    <t>Sammaan Finserve Ltd. 9.2% 25-SEP-2028</t>
  </si>
  <si>
    <t>1050KAFL27</t>
  </si>
  <si>
    <t>KLM Axiva Finvest Ltd. 10.5% 07-AUG-2027</t>
  </si>
  <si>
    <t>105EFSL29</t>
  </si>
  <si>
    <t>1145MECL29</t>
  </si>
  <si>
    <t>Meghalaya Energy Corp. Ltd. 11.45% 27-AUG-2029</t>
  </si>
  <si>
    <t>1025KLMA26</t>
  </si>
  <si>
    <t>KLM Axiva Finvest Ltd. 10.25% 03-DEC-2026</t>
  </si>
  <si>
    <t>1040NFL26B</t>
  </si>
  <si>
    <t>Navi Finserv Limited 10.4% 13-FEB-2026</t>
  </si>
  <si>
    <t>1125KLM26A</t>
  </si>
  <si>
    <t>KLM Axiva Finvest Ltd. 11.25% 31-OCT-2026</t>
  </si>
  <si>
    <t>11NHFL34</t>
  </si>
  <si>
    <t>Nido Home Finance Ltd. 11.0% 08-OCT-2034</t>
  </si>
  <si>
    <t>104SMCGS29</t>
  </si>
  <si>
    <t>SMC Global Securities Limited 10.4% 07-AUG-2029</t>
  </si>
  <si>
    <t>1075KLM27</t>
  </si>
  <si>
    <t>KLM Axiva Finvest Ltd. 10.75% 16-OCT-2027</t>
  </si>
  <si>
    <t>1070IFCI27</t>
  </si>
  <si>
    <t>IFCI Limited 10.7% 28-FEB-2027</t>
  </si>
  <si>
    <t>1050NHFL29</t>
  </si>
  <si>
    <t>Nido Home Finance Ltd. 10.5% 03-JUL-2029</t>
  </si>
  <si>
    <t>1050SMCG30</t>
  </si>
  <si>
    <t>SMC Global Securities Limited 10.5% 24-APR-2030</t>
  </si>
  <si>
    <t>105IIFL29</t>
  </si>
  <si>
    <t>India Infoline Finance Ltd. 10.5% 07-FEB-2029</t>
  </si>
  <si>
    <t>1025EFS30A</t>
  </si>
  <si>
    <t>Edelweiss Financial Services Limited 10.25% 24-JUL-2030</t>
  </si>
  <si>
    <t>11MECL30</t>
  </si>
  <si>
    <t>Meghalaya Energy Corp. Ltd. 11.45% 13-FEB-2030</t>
  </si>
  <si>
    <t>965SCL30</t>
  </si>
  <si>
    <t>Sammaan Capital Limited 9.65% 01-AUG-2030</t>
  </si>
  <si>
    <t>975SCL29</t>
  </si>
  <si>
    <t>Sammaan Capital Limited 9.75% 23-JUL-2029</t>
  </si>
  <si>
    <t>1050NHF30</t>
  </si>
  <si>
    <t>Nido Home Finance Ltd. 10.5% 03-APR-2030</t>
  </si>
  <si>
    <t>960IIFLS26</t>
  </si>
  <si>
    <t>IIFL Samasta Finance Limited 9.6% 21-JUN-2026</t>
  </si>
  <si>
    <t>1025AFL26</t>
  </si>
  <si>
    <t>Aye Finance Limited 10.25% 20-MAR-2026</t>
  </si>
  <si>
    <t>889SCL28</t>
  </si>
  <si>
    <t>Sammaan Capital Limited 9.75% 22-DEC-2028</t>
  </si>
  <si>
    <t>1045EFSL34</t>
  </si>
  <si>
    <t>Edelweiss Financial Services Limited 10.45% 29-JAN-2034</t>
  </si>
  <si>
    <t>1015SCL29</t>
  </si>
  <si>
    <t>Sammaan Capital Limited 10.15% 31-MAY-2029</t>
  </si>
  <si>
    <t>950SCL30</t>
  </si>
  <si>
    <t>Sammaan Capital Limited 9.5% 19-JUN-2030</t>
  </si>
  <si>
    <t>1060ECL29</t>
  </si>
  <si>
    <t>ECL Finance Limited 10.6% 04-JAN-2029</t>
  </si>
  <si>
    <t>1011VCL26</t>
  </si>
  <si>
    <t>Vivriti Capital Ltd. 10.11% 23-DEC-2026</t>
  </si>
  <si>
    <t>1025IIFL30</t>
  </si>
  <si>
    <t>IIFL Finance Limited 10.25% 21-APR-2030</t>
  </si>
  <si>
    <t>1025EFSL30</t>
  </si>
  <si>
    <t>995ICFL26</t>
  </si>
  <si>
    <t>IndoStar Capital Finance Limited 10.25% 25-MAY-2026</t>
  </si>
  <si>
    <t>108EAAAL27</t>
  </si>
  <si>
    <t>EAAA India Alternatives Limited 10.8% 02-JUL-2027</t>
  </si>
  <si>
    <t>1165VFPL26</t>
  </si>
  <si>
    <t>Thirumeni Finance Pvt Ltd. 11.65% 16-SEP-2026</t>
  </si>
  <si>
    <t>1011SSFL25</t>
  </si>
  <si>
    <t>Spandana Sphoorty Financial Limited 10.11% 18-DEC-2025</t>
  </si>
  <si>
    <t>1050NIDO29</t>
  </si>
  <si>
    <t>Nido Home Finance Ltd. 10.5% 01-MAR-2029</t>
  </si>
  <si>
    <t>970NIDO32</t>
  </si>
  <si>
    <t>Nido Home Finance Ltd. 9.7% 29-APR-2032</t>
  </si>
  <si>
    <t>1050EFSL30</t>
  </si>
  <si>
    <t>Edelweiss Financial Services Limited 10.5% 24-JAN-2030</t>
  </si>
  <si>
    <t>1039UCL26</t>
  </si>
  <si>
    <t>Ugro Capital Limited 10.39% 24-OCT-2026</t>
  </si>
  <si>
    <t>11EFSL34B</t>
  </si>
  <si>
    <t>Edelweiss Financial Services Limited 11.0% 24-OCT-2034</t>
  </si>
  <si>
    <t>10IIFL28</t>
  </si>
  <si>
    <t>IIFL Home Finance Ltd. 10.0% 03-NOV-2028</t>
  </si>
  <si>
    <t>1020AFSL26</t>
  </si>
  <si>
    <t>Arman Financial Services Ltd. 10.2% 25-JAN-2026</t>
  </si>
  <si>
    <t>1010EFS28</t>
  </si>
  <si>
    <t>Edelweiss Financial Services Limited 10.1% 21-JUL-2028</t>
  </si>
  <si>
    <t>1010EFS29</t>
  </si>
  <si>
    <t>1015SCL29T</t>
  </si>
  <si>
    <t>Sammaan Capital Limited 10.15% 27-DEC-2029</t>
  </si>
  <si>
    <t>105EFSL30</t>
  </si>
  <si>
    <t>10NHFL28B</t>
  </si>
  <si>
    <t>Nido Home Finance Ltd. 10.0% 02-JUL-2028</t>
  </si>
  <si>
    <t>1025NBSP27</t>
  </si>
  <si>
    <t>Nirmal Bang Securities Pvt Ltd. 10.25% 30-JAN-2027</t>
  </si>
  <si>
    <t>101MFLIV31</t>
  </si>
  <si>
    <t>Muthoot Fincorp Ltd. 10.1% 24-FEB-2031</t>
  </si>
  <si>
    <t>EFCL28723A</t>
  </si>
  <si>
    <t>Edel Finance Company Limited 10.47% 09-APR-2027</t>
  </si>
  <si>
    <t>1035EFCL28</t>
  </si>
  <si>
    <t>Edel Finance Company Limited 10.35% 10-MAR-2028</t>
  </si>
  <si>
    <t>1004DCAL26</t>
  </si>
  <si>
    <t>Dishman Carbogen Amcis Limited 10.04% 15-JUL-2026</t>
  </si>
  <si>
    <t>1101MECL31</t>
  </si>
  <si>
    <t>Meghalaya Energy Corp. Ltd. 11.01% 10-JAN-2031</t>
  </si>
  <si>
    <t>1050EFS29C</t>
  </si>
  <si>
    <t>Edelweiss Financial Services Limited 10.5% 24-OCT-2029</t>
  </si>
  <si>
    <t>1050NHF29</t>
  </si>
  <si>
    <t>Nido Home Finance Ltd. 10.5% 08-OCT-2029</t>
  </si>
  <si>
    <t>970EFSL31</t>
  </si>
  <si>
    <t>Edelweiss Financial Services Limited 9.7% 29-APR-2031</t>
  </si>
  <si>
    <t>915SCL27A</t>
  </si>
  <si>
    <t>Sammaan Capital Limited 9.55% 03-NOV-2027</t>
  </si>
  <si>
    <t>995AAHL28</t>
  </si>
  <si>
    <t>Adani Airport Holdings Limited 9.95% 12-JUN-2028</t>
  </si>
  <si>
    <t>995ICFL26A</t>
  </si>
  <si>
    <t>IndoStar Capital Finance Limited 9.95% 28-FEB-2026</t>
  </si>
  <si>
    <t>11EFSL34C</t>
  </si>
  <si>
    <t>101EFSL28</t>
  </si>
  <si>
    <t>Edelweiss Financial Services Limited 10.1% 27-APR-2028</t>
  </si>
  <si>
    <t>1025SMCGS28</t>
  </si>
  <si>
    <t>SMC Global Securities Limited 10.25% 24-APR-2028</t>
  </si>
  <si>
    <t>96EFSL26</t>
  </si>
  <si>
    <t>Edelweiss Financial Services Limited 9.6% 21-JUL-2026</t>
  </si>
  <si>
    <t>1050ISFL28</t>
  </si>
  <si>
    <t>IIFL Samasta Finance Limited 10.5% 21-DEC-2028</t>
  </si>
  <si>
    <t>97EFSL31</t>
  </si>
  <si>
    <t>Edelweiss Financial Services Limited 9.7% 10-SEP-2031</t>
  </si>
  <si>
    <t>975MFCL29</t>
  </si>
  <si>
    <t>Muthoot Fincorp Ltd. 9.75% 30-APR-2029</t>
  </si>
  <si>
    <t>975EFSL28</t>
  </si>
  <si>
    <t>Edelweiss Financial Services Limited 9.75% 24-JUL-2028</t>
  </si>
  <si>
    <t>950MFCL27</t>
  </si>
  <si>
    <t>Muthoot Fincorp Ltd. 9.5% 30-JUN-2027</t>
  </si>
  <si>
    <t>10MFCL30</t>
  </si>
  <si>
    <t>Muthoot Fincorp Ltd. 10.0% 30-APR-2030</t>
  </si>
  <si>
    <t>970MFCL30</t>
  </si>
  <si>
    <t>Muthoot Fincorp Ltd. 9.7% 16-JUL-2030</t>
  </si>
  <si>
    <t>990AUXI26</t>
  </si>
  <si>
    <t>Auxilo Finserve Pvt Ltd. 9.9% 29-NOV-2026</t>
  </si>
  <si>
    <t>1045EFSL33</t>
  </si>
  <si>
    <t>Edelweiss Financial Services Limited 10.45% 26-OCT-2033</t>
  </si>
  <si>
    <t>995PDL33</t>
  </si>
  <si>
    <t>Paisalo Digital Limited 9.95% 15-DEC-2033</t>
  </si>
  <si>
    <t>990MFL30</t>
  </si>
  <si>
    <t>Muthoot Fincorp Ltd. 9.9% 10-JAN-2030</t>
  </si>
  <si>
    <t>99MFCL29</t>
  </si>
  <si>
    <t>Muthoot Fincorp Ltd. 9.9% 30-OCT-2029</t>
  </si>
  <si>
    <t>960NIDO26</t>
  </si>
  <si>
    <t>Nido Home Finance Ltd. 9.6% 15-SEP-2026</t>
  </si>
  <si>
    <t>945SCL29</t>
  </si>
  <si>
    <t>Sammaan Capital Limited 9.45% 19-JUN-2029</t>
  </si>
  <si>
    <t>10PDL27</t>
  </si>
  <si>
    <t>Paisalo Digital Limited 10.0% 03-JUN-2027</t>
  </si>
  <si>
    <t>985ECL28</t>
  </si>
  <si>
    <t>ECL Finance Limited 9.85% 06-AUG-2028</t>
  </si>
  <si>
    <t>995NWIL32</t>
  </si>
  <si>
    <t>Nuvama Wealth and Investment Limited 9.95% 15-JUL-2032</t>
  </si>
  <si>
    <t>975PDL28</t>
  </si>
  <si>
    <t>Paisalo Digital Limited 9.75% 08-AUG-2028</t>
  </si>
  <si>
    <t>995PDL26</t>
  </si>
  <si>
    <t>Paisalo Digital Limited 9.95% 26-SEP-2026</t>
  </si>
  <si>
    <t>10UCL29</t>
  </si>
  <si>
    <t>Ugro Capital Limited 10.0% 30-JAN-2029</t>
  </si>
  <si>
    <t>1050EFS29A</t>
  </si>
  <si>
    <t>990MFCL29</t>
  </si>
  <si>
    <t>Muthoot Fincorp Ltd. 9.9% 16-SEP-2029</t>
  </si>
  <si>
    <t>99SCL27</t>
  </si>
  <si>
    <t>Sammaan Capital Limited 9.9% 31-MAY-2027</t>
  </si>
  <si>
    <t>99IFSL26</t>
  </si>
  <si>
    <t>InCred Financial Services Limited 9.9% 21-AUG-2026</t>
  </si>
  <si>
    <t>99TCP27</t>
  </si>
  <si>
    <t>Tyger Capital Pvt Ltd. 9.9% 13-AUG-2027</t>
  </si>
  <si>
    <t>986VCL27A</t>
  </si>
  <si>
    <t>Vivriti Capital Ltd. 9.86% 06-JAN-2027</t>
  </si>
  <si>
    <t>995PDL34A</t>
  </si>
  <si>
    <t>Paisalo Digital Limited 9.95% 24-FEB-2034</t>
  </si>
  <si>
    <t>995PDL34</t>
  </si>
  <si>
    <t>Paisalo Digital Limited 9.95% 17-JAN-2034</t>
  </si>
  <si>
    <t>990SCL26B</t>
  </si>
  <si>
    <t>Sammaan Capital Limited 9.9% 27-DEC-2026</t>
  </si>
  <si>
    <t>995ICFL26C</t>
  </si>
  <si>
    <t>IndoStar Capital Finance Limited 9.95% 28-NOV-2026</t>
  </si>
  <si>
    <t>995EFSL31</t>
  </si>
  <si>
    <t>Edelweiss Financial Services Limited 9.95% 08-JAN-2031</t>
  </si>
  <si>
    <t>995UPPCL26</t>
  </si>
  <si>
    <t>UP Power Corporation Limited 9.95% 31-MAR-2026</t>
  </si>
  <si>
    <t>86CIFC29</t>
  </si>
  <si>
    <t>Cholamandalam Investment and finance Company Limited 8.6% 31-JAN-2029</t>
  </si>
  <si>
    <t>1010EFSL32</t>
  </si>
  <si>
    <t>Edelweiss Financial Services Limited 10.1% 20-OCT-2032</t>
  </si>
  <si>
    <t>990SCL26A</t>
  </si>
  <si>
    <t>Sammaan Capital Limited 9.9% 09-NOV-2026</t>
  </si>
  <si>
    <t>10NIDO26</t>
  </si>
  <si>
    <t>Nido Home Finance Ltd. 10.0% 19-JUL-2026</t>
  </si>
  <si>
    <t>990VCL26</t>
  </si>
  <si>
    <t>Vivriti Capital Ltd. 9.9% 11-MAR-2026</t>
  </si>
  <si>
    <t>990IKFFL27</t>
  </si>
  <si>
    <t>IKF Finance Limited 9.9% 15-MAR-2027</t>
  </si>
  <si>
    <t>97EFSL31A</t>
  </si>
  <si>
    <t>Edelweiss Financial Services Limited 9.7% 28-DEC-2031</t>
  </si>
  <si>
    <t>925SCL28B</t>
  </si>
  <si>
    <t>Sammaan Capital Limited 10.15% 27-DEC-2028</t>
  </si>
  <si>
    <t>10IIFL28A</t>
  </si>
  <si>
    <t>IIFL Finance Limited 10.0% 24-JUN-2028</t>
  </si>
  <si>
    <t>99MFL30</t>
  </si>
  <si>
    <t>Muthoot Fincorp Ltd. 9.9% 19-MAY-2030</t>
  </si>
  <si>
    <t>975SCL28A</t>
  </si>
  <si>
    <t>Sammaan Capital Limited 9.75% 12-APR-2028</t>
  </si>
  <si>
    <t>10MFL31</t>
  </si>
  <si>
    <t>Muthoot Fincorp Ltd. 10.0% 19-MAY-2031</t>
  </si>
  <si>
    <t>934WBSE25A</t>
  </si>
  <si>
    <t>West Bengal State Electricity Distribution Company Limited 9.34% 25-OCT-2025</t>
  </si>
  <si>
    <t>945MFCL28</t>
  </si>
  <si>
    <t>Muthoot Fincorp Ltd. 9.45% 16-JUL-2028</t>
  </si>
  <si>
    <t>10SMCGSL27</t>
  </si>
  <si>
    <t>SMC Global Securities Limited 10.0% 24-APR-2027</t>
  </si>
  <si>
    <t>1070ICFL27</t>
  </si>
  <si>
    <t>IndoStar Capital Finance Limited 10.7% 25-SEP-2027</t>
  </si>
  <si>
    <t>995IKFL26</t>
  </si>
  <si>
    <t>IKF Finance Limited 9.95% 25-JUL-2026</t>
  </si>
  <si>
    <t>1050ICFL29</t>
  </si>
  <si>
    <t>IndoStar Capital Finance Limited 10.5% 25-SEP-2029</t>
  </si>
  <si>
    <t>1015UPPC27</t>
  </si>
  <si>
    <t>UP Power Corporation Limited 10.15% 20-JAN-2027</t>
  </si>
  <si>
    <t>1010EFS28A</t>
  </si>
  <si>
    <t>Edelweiss Financial Services Limited 10.1% 20-JAN-2028</t>
  </si>
  <si>
    <t>1010MFCL30</t>
  </si>
  <si>
    <t>Muthoot Fincorp Ltd. 10.1% 16-SEP-2030</t>
  </si>
  <si>
    <t>990MFLIV30</t>
  </si>
  <si>
    <t>Muthoot Fincorp Ltd. 9.9% 24-FEB-2030</t>
  </si>
  <si>
    <t>974VCL26</t>
  </si>
  <si>
    <t>Vivriti Capital Ltd. 9.74% 24-JUN-2026</t>
  </si>
  <si>
    <t>1225ICLF26</t>
  </si>
  <si>
    <t>ICL Fincorp Ltd. 12.25% 14-DEC-2026</t>
  </si>
  <si>
    <t>9IHFL27</t>
  </si>
  <si>
    <t>IIFL Home Finance Ltd. 9.0% 26-DEC-2027</t>
  </si>
  <si>
    <t>980MFCL31</t>
  </si>
  <si>
    <t>Muthoot Fincorp Ltd. 9.8% 16-JUL-2031</t>
  </si>
  <si>
    <t>945SCL28</t>
  </si>
  <si>
    <t>Sammaan Capital Limited 9.45% 19-JUN-2028</t>
  </si>
  <si>
    <t>990AFPL27</t>
  </si>
  <si>
    <t>Auxilo Finserve Pvt Ltd. 9.9% 21-FEB-2027</t>
  </si>
  <si>
    <t>975OFSL27A</t>
  </si>
  <si>
    <t>Oxyzo Financial Services Private Limited 9.75% 19-MAR-2027</t>
  </si>
  <si>
    <t>990IKF27</t>
  </si>
  <si>
    <t>IKF Finance Limited 9.9% 20-JAN-2027</t>
  </si>
  <si>
    <t>998IFCI30</t>
  </si>
  <si>
    <t>IFCI Limited 9.98% 29-OCT-2030</t>
  </si>
  <si>
    <t>1015UPPC28</t>
  </si>
  <si>
    <t>UP Power Corporation Limited 10.15% 20-JAN-2028</t>
  </si>
  <si>
    <t>995AAHL27</t>
  </si>
  <si>
    <t>Adani Airport Holdings Limited 9.95% 15-MAR-2027</t>
  </si>
  <si>
    <t>975HLFL28</t>
  </si>
  <si>
    <t>Hinduja Leyland Finance Limited 9.75% 21-APR-2028</t>
  </si>
  <si>
    <t>975IFCI30</t>
  </si>
  <si>
    <t>IFCI Limited 9.75% 13-JUL-2030</t>
  </si>
  <si>
    <t>925IHFL31</t>
  </si>
  <si>
    <t>IIFL Home Finance Ltd. 9.25% 26-DEC-2031</t>
  </si>
  <si>
    <t>925SCL2028</t>
  </si>
  <si>
    <t>Sammaan Capital Limited 9.25% 01-AUG-2028</t>
  </si>
  <si>
    <t>995UPPCL27</t>
  </si>
  <si>
    <t>UP Power Corporation Limited 9.95% 31-MAR-2027</t>
  </si>
  <si>
    <t>104ECL29</t>
  </si>
  <si>
    <t>ECL Finance Limited 10.4% 28-NOV-2029</t>
  </si>
  <si>
    <t>955EFSL26A</t>
  </si>
  <si>
    <t>Edelweiss Financial Services Limited 9.55% 10-SEP-2026</t>
  </si>
  <si>
    <t>950EFSL26</t>
  </si>
  <si>
    <t>Edelweiss Financial Services Limited 9.5% 26-JUL-2026</t>
  </si>
  <si>
    <t>966ONE29</t>
  </si>
  <si>
    <t>360 ONE Prime Ltd. 9.66% 18-JAN-2029</t>
  </si>
  <si>
    <t>960IFSL27</t>
  </si>
  <si>
    <t>InCred Financial Services Limited 9.6% 16-AUG-2027</t>
  </si>
  <si>
    <t>970AXFPL28</t>
  </si>
  <si>
    <t>Auxilo Finserve Pvt Ltd. 9.7% 13-JUN-2028</t>
  </si>
  <si>
    <t>1010MFL31</t>
  </si>
  <si>
    <t>Muthoot Fincorp Ltd. 10.1% 10-JAN-2031</t>
  </si>
  <si>
    <t>970MGIC33</t>
  </si>
  <si>
    <t>Magma General Insurance Limited 9.7% 28-DEC-2033</t>
  </si>
  <si>
    <t>1045EFS33A</t>
  </si>
  <si>
    <t>Edelweiss Financial Services Limited 10.45% 20-JAN-2033</t>
  </si>
  <si>
    <t>975SCL29A</t>
  </si>
  <si>
    <t>Sammaan Capital Limited 9.75% 20-OCT-2029</t>
  </si>
  <si>
    <t>1010NIDO28</t>
  </si>
  <si>
    <t>Nido Home Finance Ltd. 10.1% 15-SEP-2028</t>
  </si>
  <si>
    <t>1010EFSL29</t>
  </si>
  <si>
    <t>Edelweiss Financial Services Limited 10.1% 29-JAN-2029</t>
  </si>
  <si>
    <t>10AAHL29</t>
  </si>
  <si>
    <t>Adani Airport Holdings Limited 10.0% 14-MAR-2029</t>
  </si>
  <si>
    <t>96MFSL26</t>
  </si>
  <si>
    <t>MAS Financial Services Limited 9.6% 23-DEC-2026</t>
  </si>
  <si>
    <t>97SFL26</t>
  </si>
  <si>
    <t>Shriram Finance Limited 9.7% 22-AUG-2026</t>
  </si>
  <si>
    <t>90802IOB19</t>
  </si>
  <si>
    <t>Indian Overseas Bank 9.0802% 24-SEP-2029</t>
  </si>
  <si>
    <t>965AXFPL27</t>
  </si>
  <si>
    <t>Auxilo Finserve Pvt Ltd. 9.65% 19-JUL-2027</t>
  </si>
  <si>
    <t>94SCL27</t>
  </si>
  <si>
    <t>Sammaan Capital Limited 9.4% 31-MAY-2027</t>
  </si>
  <si>
    <t>965MFLIV28</t>
  </si>
  <si>
    <t>Muthoot Fincorp Ltd. 9.65% 24-FEB-2028</t>
  </si>
  <si>
    <t>965MFL28</t>
  </si>
  <si>
    <t>Muthoot Fincorp Ltd. 9.65% 10-JAN-2028</t>
  </si>
  <si>
    <t>1075IFC26</t>
  </si>
  <si>
    <t>IFCI Limited 10.75% 31-OCT-2026</t>
  </si>
  <si>
    <t>99AEL29</t>
  </si>
  <si>
    <t>Adani Enterprises Limited 9.9% 12-SEP-2029</t>
  </si>
  <si>
    <t>940MFCL26</t>
  </si>
  <si>
    <t>Muthoot Fincorp Ltd. 9.4% 16-SEP-2026</t>
  </si>
  <si>
    <t>1055MECL33</t>
  </si>
  <si>
    <t>Meghalaya Energy Corp. Ltd. 10.55% 03-APR-2033</t>
  </si>
  <si>
    <t>962APSB32</t>
  </si>
  <si>
    <t>Andhra Pradesh State Beverages Corporation Limited 9.62% 31-MAY-2032</t>
  </si>
  <si>
    <t>962APSB31A</t>
  </si>
  <si>
    <t>Andhra Pradesh State Beverages Corporation Limited 9.62% 28-NOV-2031</t>
  </si>
  <si>
    <t>962APSB32A</t>
  </si>
  <si>
    <t>Andhra Pradesh State Beverages Corporation Limited 9.62% 29-NOV-2032</t>
  </si>
  <si>
    <t>779PFCL30</t>
  </si>
  <si>
    <t>Power Finance Corporation Limited 7.79% 22-JUL-2030</t>
  </si>
  <si>
    <t>995UPPCL28</t>
  </si>
  <si>
    <t>UP Power Corporation Limited 9.95% 31-MAR-2028</t>
  </si>
  <si>
    <t>1025NBFS27</t>
  </si>
  <si>
    <t>Nirmal Bang Financial Services Private Limited 10.25% 02-MAR-2027</t>
  </si>
  <si>
    <t>995UPPCL29</t>
  </si>
  <si>
    <t>UP Power Corporation Limited 9.95% 30-MAR-2029</t>
  </si>
  <si>
    <t>95NHFL27A</t>
  </si>
  <si>
    <t>Nido Home Finance Ltd. 9.5% 03-APR-2027</t>
  </si>
  <si>
    <t>950NHFL26</t>
  </si>
  <si>
    <t>Nido Home Finance Ltd. 9.5% 03-JUL-2026</t>
  </si>
  <si>
    <t>96ONE29</t>
  </si>
  <si>
    <t>360 ONE Prime Ltd. 9.6% 12-JUN-2029</t>
  </si>
  <si>
    <t>1025JFCS28</t>
  </si>
  <si>
    <t>JM Financial Credit Solutions Ltd. 10.25% 13-DEC-2028</t>
  </si>
  <si>
    <t>962NWFL27</t>
  </si>
  <si>
    <t>Nuvama Wealth Finance Ltd. 9.62% 16-JUN-2027</t>
  </si>
  <si>
    <t>1010EFSL28</t>
  </si>
  <si>
    <t>Edelweiss Financial Services Limited 10.1% 26-OCT-2028</t>
  </si>
  <si>
    <t>961NWFL26</t>
  </si>
  <si>
    <t>Nuvama Wealth Finance Ltd. 9.6177% 23-APR-2026</t>
  </si>
  <si>
    <t>975HLF26</t>
  </si>
  <si>
    <t>Hinduja Leyland Finance Limited 9.75% 25-SEP-2026</t>
  </si>
  <si>
    <t>965SCL26A</t>
  </si>
  <si>
    <t>Sammaan Capital Limited 9.65% 31-MAY-2026</t>
  </si>
  <si>
    <t>975UPPCL26</t>
  </si>
  <si>
    <t>UP Power Corporation Limited 9.75% 20-OCT-2026</t>
  </si>
  <si>
    <t>955NWIL27</t>
  </si>
  <si>
    <t>Nuvama Wealth and Investment Limited 9.55% 15-JUL-2027</t>
  </si>
  <si>
    <t>945HLFL33</t>
  </si>
  <si>
    <t>Hinduja Leyland Finance Limited 9.45% 23-AUG-2033</t>
  </si>
  <si>
    <t>962APSB27</t>
  </si>
  <si>
    <t>Andhra Pradesh State Beverages Corporation Limited 9.62% 31-MAY-2027</t>
  </si>
  <si>
    <t>975IFCI28</t>
  </si>
  <si>
    <t>IFCI Limited 9.75% 26-APR-2028</t>
  </si>
  <si>
    <t>962APSB27A</t>
  </si>
  <si>
    <t>Andhra Pradesh State Beverages Corporation Limited 9.62% 30-NOV-2027</t>
  </si>
  <si>
    <t>10NIDO27</t>
  </si>
  <si>
    <t>Nido Home Finance Ltd. 10.0% 01-MAR-2027</t>
  </si>
  <si>
    <t>10JFPL30</t>
  </si>
  <si>
    <t>JM Financial Products Limited 10.0% 16-MAR-2030</t>
  </si>
  <si>
    <t>960OFSL27</t>
  </si>
  <si>
    <t>Oxyzo Financial Services Private Limited 9.6% 14-JUN-2027</t>
  </si>
  <si>
    <t>995UPPCL30</t>
  </si>
  <si>
    <t>UP Power Corporation Limited 9.95% 29-MAR-2030</t>
  </si>
  <si>
    <t>995ICFL626</t>
  </si>
  <si>
    <t>IndoStar Capital Finance Limited 9.95% 26-JUN-2026</t>
  </si>
  <si>
    <t>960EFSL26</t>
  </si>
  <si>
    <t>Edelweiss Financial Services Limited 9.6% 27-APR-2026</t>
  </si>
  <si>
    <t>925NHFL27</t>
  </si>
  <si>
    <t>Nido Home Finance Ltd. 9.25% 02-JUL-2027</t>
  </si>
  <si>
    <t>97SFL28</t>
  </si>
  <si>
    <t>Shriram Finance Limited 9.7% 02-NOV-2028</t>
  </si>
  <si>
    <t>965SCL27</t>
  </si>
  <si>
    <t>Sammaan Capital Limited 9.65% 19-MAR-2027</t>
  </si>
  <si>
    <t>955NIDO27</t>
  </si>
  <si>
    <t>Nido Home Finance Ltd. 9.55% 29-APR-2027</t>
  </si>
  <si>
    <t>985ONE34</t>
  </si>
  <si>
    <t>360 ONE Prime Ltd. 9.85% 12-JUN-2034</t>
  </si>
  <si>
    <t>975UPPCL27</t>
  </si>
  <si>
    <t>UP Power Corporation Limited 9.75% 20-OCT-2027</t>
  </si>
  <si>
    <t>1050ICFL26</t>
  </si>
  <si>
    <t>IndoStar Capital Finance Limited 10.5% 25-SEP-2026</t>
  </si>
  <si>
    <t>10EFSL27</t>
  </si>
  <si>
    <t>Edelweiss Financial Services Limited 10.0% 26-JUL-2027</t>
  </si>
  <si>
    <t>962APSB26</t>
  </si>
  <si>
    <t>Andhra Pradesh State Beverages Corporation Limited 9.62% 29-MAY-2026</t>
  </si>
  <si>
    <t>955ONE27</t>
  </si>
  <si>
    <t>360 ONE Prime Ltd. 9.55% 12-JUN-2027</t>
  </si>
  <si>
    <t>94MFL27A</t>
  </si>
  <si>
    <t>Muthoot Fincorp Ltd. 9.4% 15-MAR-2027</t>
  </si>
  <si>
    <t>944MFL28A</t>
  </si>
  <si>
    <t>Muthoot Fincorp Ltd. 9.44% 20-SEP-2028</t>
  </si>
  <si>
    <t>950IFSL26B</t>
  </si>
  <si>
    <t>InCred Financial Services Limited 9.5% 11-DEC-2026</t>
  </si>
  <si>
    <t>930SCL26</t>
  </si>
  <si>
    <t>Sammaan Capital Limited 9.3% 29-JUN-2026</t>
  </si>
  <si>
    <t>962APSB26A</t>
  </si>
  <si>
    <t>Andhra Pradesh State Beverages Corporation Limited 9.62% 30-NOV-2026</t>
  </si>
  <si>
    <t>962APSB29</t>
  </si>
  <si>
    <t>Andhra Pradesh State Beverages Corporation Limited 9.62% 31-MAY-2029</t>
  </si>
  <si>
    <t>995UPPCL31</t>
  </si>
  <si>
    <t>UP Power Corporation Limited 9.95% 31-MAR-2031</t>
  </si>
  <si>
    <t>99EARCL28</t>
  </si>
  <si>
    <t>Edelweiss Asset Reconstruction Company Limited 9.9% 08-DEC-2028</t>
  </si>
  <si>
    <t>925ERFL28</t>
  </si>
  <si>
    <t>Edelweiss Retail Finance Limited 9.25% 22-MAR-2028</t>
  </si>
  <si>
    <t>10NHFL27A</t>
  </si>
  <si>
    <t>Nido Home Finance Ltd. 10.0% 08-OCT-2027</t>
  </si>
  <si>
    <t>101MFCL30</t>
  </si>
  <si>
    <t>Muthoot Fincorp Ltd. 10.1% 30-OCT-2030</t>
  </si>
  <si>
    <t>925SCL27</t>
  </si>
  <si>
    <t>Sammaan Capital Limited 9.25% 28-APR-2027</t>
  </si>
  <si>
    <t>10EFSL28</t>
  </si>
  <si>
    <t>Edelweiss Financial Services Limited 10.0% 24-JAN-2028</t>
  </si>
  <si>
    <t>94MFL27B</t>
  </si>
  <si>
    <t>Muthoot Fincorp Ltd. 9.4% 19-MAY-2027</t>
  </si>
  <si>
    <t>975HLFL26A</t>
  </si>
  <si>
    <t>Hinduja Leyland Finance Limited 9.75% 18-SEP-2026</t>
  </si>
  <si>
    <t>955EFSL26</t>
  </si>
  <si>
    <t>Edelweiss Financial Services Limited 9.55% 29-APR-2026</t>
  </si>
  <si>
    <t>10EFSL27A</t>
  </si>
  <si>
    <t>Edelweiss Financial Services Limited 10.0% 24-OCT-2027</t>
  </si>
  <si>
    <t>935ONE26</t>
  </si>
  <si>
    <t>360 ONE Prime Ltd. 9.35% 12-JUN-2026</t>
  </si>
  <si>
    <t>962APSB28A</t>
  </si>
  <si>
    <t>Andhra Pradesh State Beverages Corporation Limited 9.62% 30-NOV-2028</t>
  </si>
  <si>
    <t>962APSB28</t>
  </si>
  <si>
    <t>Andhra Pradesh State Beverages Corporation Limited 9.62% 31-MAY-2028</t>
  </si>
  <si>
    <t>962APSB30A</t>
  </si>
  <si>
    <t>Andhra Pradesh State Beverages Corporation Limited 9.62% 29-NOV-2030</t>
  </si>
  <si>
    <t>10ARKA28</t>
  </si>
  <si>
    <t>Arka Fincap Ltd. 10.0% 27-DEC-2028</t>
  </si>
  <si>
    <t>932AEL27</t>
  </si>
  <si>
    <t>Adani Enterprises Limited 9.32% 12-SEP-2027</t>
  </si>
  <si>
    <t>975HLFL026</t>
  </si>
  <si>
    <t>Hinduja Leyland Finance Limited 9.75% 08-OCT-2026</t>
  </si>
  <si>
    <t>97HFSL28</t>
  </si>
  <si>
    <t>HDB Financial Services Limited 9.7% 15-NOV-2028</t>
  </si>
  <si>
    <t>915SCL26</t>
  </si>
  <si>
    <t>Sammaan Capital Limited 9.15% 26-SEP-2026</t>
  </si>
  <si>
    <t>98EFSL26</t>
  </si>
  <si>
    <t>Edelweiss Financial Services Limited 9.8% 08-JAN-2026</t>
  </si>
  <si>
    <t>95NHFL27</t>
  </si>
  <si>
    <t>Nido Home Finance Ltd. 9.5% 06-JAN-2027</t>
  </si>
  <si>
    <t>950MFL27A</t>
  </si>
  <si>
    <t>Muthoot Fincorp Ltd. 9.5% 31-JAN-2027</t>
  </si>
  <si>
    <t>990AUXI26A</t>
  </si>
  <si>
    <t>Auxilo Finserve Pvt Ltd. 9.9% 18-DEC-2026</t>
  </si>
  <si>
    <t>962APSB30</t>
  </si>
  <si>
    <t>Andhra Pradesh State Beverages Corporation Limited 9.62% 31-MAY-2030</t>
  </si>
  <si>
    <t>930MFLIV26</t>
  </si>
  <si>
    <t>Muthoot Fincorp Ltd. 9.3% 24-AUG-2026</t>
  </si>
  <si>
    <t>960EFSL27</t>
  </si>
  <si>
    <t>Edelweiss Financial Services Limited 9.6% 29-JAN-2027</t>
  </si>
  <si>
    <t>1012IFCI27</t>
  </si>
  <si>
    <t>IFCI Limited 10.12% 08-OCT-2027</t>
  </si>
  <si>
    <t>945OFSL26</t>
  </si>
  <si>
    <t>Oxyzo Financial Services Private Limited 9.45% 11-NOV-2026</t>
  </si>
  <si>
    <t>946PFCL26</t>
  </si>
  <si>
    <t>Power Finance Corporation Limited 9.46% 01-AUG-2026</t>
  </si>
  <si>
    <t>975EFSL27</t>
  </si>
  <si>
    <t>Edelweiss Financial Services Limited 9.75% 20-OCT-2027</t>
  </si>
  <si>
    <t>10NHFL27</t>
  </si>
  <si>
    <t>Nido Home Finance Ltd. 10.0% 03-JUL-2027</t>
  </si>
  <si>
    <t>10IFSL26</t>
  </si>
  <si>
    <t>InCred Financial Services Limited 10.0% 02-MAY-2026</t>
  </si>
  <si>
    <t>9EFSL27</t>
  </si>
  <si>
    <t>Edelweiss Financial Services Limited 9.0% 24-JUL-2027</t>
  </si>
  <si>
    <t>997MCSL25</t>
  </si>
  <si>
    <t>Muthoot Capital Services Limited 9.97% 05-DEC-2025</t>
  </si>
  <si>
    <t>940SCL27A</t>
  </si>
  <si>
    <t>Sammaan Capital Limited 9.4% 25-SEP-2027</t>
  </si>
  <si>
    <t>925MFCL26</t>
  </si>
  <si>
    <t>Muthoot Fincorp Ltd. 9.25% 30-JUN-2026</t>
  </si>
  <si>
    <t>962APSB29A</t>
  </si>
  <si>
    <t>Andhra Pradesh State Beverages Corporation Limited 9.62% 30-NOV-2029</t>
  </si>
  <si>
    <t>925SFL25</t>
  </si>
  <si>
    <t>Shriram Finance Limited 9.25% 19-DEC-2025</t>
  </si>
  <si>
    <t>925MRHFL25</t>
  </si>
  <si>
    <t>Mahindra Rural Housing Finance Ltd. 9.25% 13-OCT-2025</t>
  </si>
  <si>
    <t>925AEL26</t>
  </si>
  <si>
    <t>Adani Enterprises Limited 9.25% 12-SEP-2026</t>
  </si>
  <si>
    <t>915MFL28</t>
  </si>
  <si>
    <t>Muthoot Fincorp Ltd. 9.15% 02-MAY-2028</t>
  </si>
  <si>
    <t>960CFSL34</t>
  </si>
  <si>
    <t>Credila Financial Services Limited 9.6% 24-FEB-2034</t>
  </si>
  <si>
    <t>965MFCL27A</t>
  </si>
  <si>
    <t>Muthoot Fincorp Ltd. 9.65% 30-OCT-2027</t>
  </si>
  <si>
    <t>961ONE27</t>
  </si>
  <si>
    <t>360 ONE Prime Ltd. 9.61% 18-JAN-2027</t>
  </si>
  <si>
    <t>9SCL26BA</t>
  </si>
  <si>
    <t>Sammaan Capital Limited 9.0% 26-SEP-2026</t>
  </si>
  <si>
    <t>950EFSL27</t>
  </si>
  <si>
    <t>Edelweiss Financial Services Limited 9.5% 24-JAN-2027</t>
  </si>
  <si>
    <t>95NIDO26</t>
  </si>
  <si>
    <t>Nido Home Finance Ltd. 9.5% 01-MAR-2026</t>
  </si>
  <si>
    <t>962APSB31</t>
  </si>
  <si>
    <t>Andhra Pradesh State Beverages Corporation Limited 9.62% 30-MAY-2031</t>
  </si>
  <si>
    <t>925IHFL29</t>
  </si>
  <si>
    <t>IIFL Home Finance Ltd. 9.25% 26-DEC-2029</t>
  </si>
  <si>
    <t>965SCL26Y</t>
  </si>
  <si>
    <t>Sammaan Capital Limited 9.65% 27-DEC-2026</t>
  </si>
  <si>
    <t>925MASFS27</t>
  </si>
  <si>
    <t>MAS Financial Services Limited 9.25% 16-MAY-2027</t>
  </si>
  <si>
    <t>930AEL30</t>
  </si>
  <si>
    <t>Adani Enterprises Limited 9.3% 17-JUL-2030</t>
  </si>
  <si>
    <t>956AEL29</t>
  </si>
  <si>
    <t>Adani Enterprises Limited 9.56% 12-SEP-2029</t>
  </si>
  <si>
    <t>10ISFL26</t>
  </si>
  <si>
    <t>IIFL Samasta Finance Limited 10.0% 21-DEC-2026</t>
  </si>
  <si>
    <t>96EFSL27</t>
  </si>
  <si>
    <t>Edelweiss Financial Services Limited 9.6% 29-APR-2027</t>
  </si>
  <si>
    <t>940MFLIV27</t>
  </si>
  <si>
    <t>Muthoot Fincorp Ltd. 9.4% 24-FEB-2027</t>
  </si>
  <si>
    <t>925MOFSL32</t>
  </si>
  <si>
    <t>Motilal Oswal Financial Services Limited 9.25% 03-SEP-2032</t>
  </si>
  <si>
    <t>975JMFCS28</t>
  </si>
  <si>
    <t>JM Financial Credit Solutions Ltd. 9.75% 07-JUN-2028</t>
  </si>
  <si>
    <t>11UCL26</t>
  </si>
  <si>
    <t>Ugro Capital Limited 11.0% 27-MAY-2026</t>
  </si>
  <si>
    <t>965SCL26</t>
  </si>
  <si>
    <t>Sammaan Capital Limited 9.65% 26-MAR-2026</t>
  </si>
  <si>
    <t>919PEL28</t>
  </si>
  <si>
    <t>Piramal Enterprises Ltd 9.19% 08-AUG-2028</t>
  </si>
  <si>
    <t>995UPPCL32</t>
  </si>
  <si>
    <t>UP Power Corporation Limited 9.95% 22-MAR-2032</t>
  </si>
  <si>
    <t>955EFSL26B</t>
  </si>
  <si>
    <t>Edelweiss Financial Services Limited 9.55% 28-DEC-2026</t>
  </si>
  <si>
    <t>965MFCL27</t>
  </si>
  <si>
    <t>Muthoot Fincorp Ltd. 9.65% 16-SEP-2027</t>
  </si>
  <si>
    <t>965ARKA26</t>
  </si>
  <si>
    <t>Arka Fincap Ltd. 9.65% 27-DEC-2026</t>
  </si>
  <si>
    <t>930PEL29</t>
  </si>
  <si>
    <t>Piramal Enterprises Ltd 9.3% 09-APR-2029</t>
  </si>
  <si>
    <t>9IIFL28</t>
  </si>
  <si>
    <t>IIFL Finance Limited 9.0% 28-JUN-2028</t>
  </si>
  <si>
    <t>940HLFL31</t>
  </si>
  <si>
    <t>Hinduja Leyland Finance Limited 9.4% 30-JAN-2031</t>
  </si>
  <si>
    <t>916ONE25</t>
  </si>
  <si>
    <t>360 ONE Prime Ltd. 9.16% 12-DEC-2025</t>
  </si>
  <si>
    <t>1045NIDO33</t>
  </si>
  <si>
    <t>Nido Home Finance Ltd. 10.45% 15-SEP-2033</t>
  </si>
  <si>
    <t>920SCL28</t>
  </si>
  <si>
    <t>Sammaan Capital Limited 9.2% 04-AUG-2028</t>
  </si>
  <si>
    <t>920NWIL27</t>
  </si>
  <si>
    <t>Nuvama Wealth and Investment Limited 9.2% 20-DEC-2027</t>
  </si>
  <si>
    <t>960EFSL26C</t>
  </si>
  <si>
    <t>Edelweiss Financial Services Limited 9.6% 20-JAN-2026</t>
  </si>
  <si>
    <t>965SCL25B</t>
  </si>
  <si>
    <t>Sammaan Capital Limited 9.65% 27-DEC-2025</t>
  </si>
  <si>
    <t>875IHFL29</t>
  </si>
  <si>
    <t>IIFL Home Finance Ltd. 8.75% 03-JAN-2029</t>
  </si>
  <si>
    <t>975IIFL28</t>
  </si>
  <si>
    <t>IIFL Finance Limited 9.75% 21-APR-2028</t>
  </si>
  <si>
    <t>950EFSL26A</t>
  </si>
  <si>
    <t>Edelweiss Financial Services Limited 9.5% 24-OCT-2026</t>
  </si>
  <si>
    <t>915SCL27</t>
  </si>
  <si>
    <t>Sammaan Capital Limited 9.55% 28-SEP-2027</t>
  </si>
  <si>
    <t>885SCL26</t>
  </si>
  <si>
    <t>Sammaan Capital Limited 8.85% 26-SEP-2026</t>
  </si>
  <si>
    <t>941ONE26</t>
  </si>
  <si>
    <t>360 ONE Prime Ltd. 9.41% 18-JAN-2026</t>
  </si>
  <si>
    <t>915BML27</t>
  </si>
  <si>
    <t>Belstar Microfinance Limited 9.15% 17-JUN-2027</t>
  </si>
  <si>
    <t>944MFL28</t>
  </si>
  <si>
    <t>Muthoot Fincorp Ltd. 9.44% 01-NOV-2028</t>
  </si>
  <si>
    <t>965SCL26F</t>
  </si>
  <si>
    <t>Sammaan Capital Limited 9.65% 25-SEP-2026</t>
  </si>
  <si>
    <t>84IRFC29</t>
  </si>
  <si>
    <t>Indian Railway Finance Corporation Limited 8.4% 08-JAN-2029</t>
  </si>
  <si>
    <t>910BML27</t>
  </si>
  <si>
    <t>Belstar Microfinance Limited 9.1% 12-AUG-2027</t>
  </si>
  <si>
    <t>95NHFL26</t>
  </si>
  <si>
    <t>Nido Home Finance Ltd. 9.5% 08-OCT-2026</t>
  </si>
  <si>
    <t>960EFSLA</t>
  </si>
  <si>
    <t>Edelweiss Financial Services Limited 9.6% 26-OCT-2026</t>
  </si>
  <si>
    <t>960ISFL25</t>
  </si>
  <si>
    <t>IIFL Samasta Finance Limited 9.6% 21-DEC-2025</t>
  </si>
  <si>
    <t>975ECL27</t>
  </si>
  <si>
    <t>ECL Finance Limited 9.75% 30-APR-2027</t>
  </si>
  <si>
    <t>97IFCI30</t>
  </si>
  <si>
    <t>IFCI Limited 9.7% 04-MAY-2030</t>
  </si>
  <si>
    <t>9ARKA25</t>
  </si>
  <si>
    <t>Arka Fincap Ltd. 9.0% 27-DEC-2025</t>
  </si>
  <si>
    <t>935MOFSL29</t>
  </si>
  <si>
    <t>Motilal Oswal Financial Services Limited 9.35% 09-MAY-2029</t>
  </si>
  <si>
    <t>920AUSFB35</t>
  </si>
  <si>
    <t>AU Small Finance Bank Limited 9.2% 28-MAR-2035</t>
  </si>
  <si>
    <t>96MFL25</t>
  </si>
  <si>
    <t>Muthoot Fincorp Ltd. 9.6% 28-OCT-2025</t>
  </si>
  <si>
    <t>925MFL26</t>
  </si>
  <si>
    <t>Muthoot Fincorp Ltd. 9.25% 31-JAN-2026</t>
  </si>
  <si>
    <t>97MOFSL34</t>
  </si>
  <si>
    <t>Motilal Oswal Financial Services Limited 9.7% 09-MAY-2034</t>
  </si>
  <si>
    <t>965SCL25A</t>
  </si>
  <si>
    <t>Sammaan Capital Limited 9.65% 09-NOV-2025</t>
  </si>
  <si>
    <t>950HLFL29</t>
  </si>
  <si>
    <t>Hinduja Leyland Finance Limited 9.5% 29-NOV-2029</t>
  </si>
  <si>
    <t>97SFL29</t>
  </si>
  <si>
    <t>Shriram Finance Limited 9.7% 06-FEB-2029</t>
  </si>
  <si>
    <t>920PEL28</t>
  </si>
  <si>
    <t>Piramal Enterprises Ltd 9.2% 03-NOV-2028</t>
  </si>
  <si>
    <t>94MFL27</t>
  </si>
  <si>
    <t>Muthoot Fincorp Ltd. 9.4% 29-JAN-2027</t>
  </si>
  <si>
    <t>915PIFS27</t>
  </si>
  <si>
    <t>PTC India Financial Services Limited 9.15% 30-MAR-2027</t>
  </si>
  <si>
    <t>94SFL28</t>
  </si>
  <si>
    <t>Shriram Finance Limited 9.4% 12-JUL-2028</t>
  </si>
  <si>
    <t>925SCFL27</t>
  </si>
  <si>
    <t>Sammaan Capital Limited 9.25% 06-JAN-2027</t>
  </si>
  <si>
    <t>9EFSL26</t>
  </si>
  <si>
    <t>Edelweiss Financial Services Limited 9.0% 29-APR-2026</t>
  </si>
  <si>
    <t>940MFL27</t>
  </si>
  <si>
    <t>Muthoot Fincorp Ltd. 9.4% 10-JAN-2027</t>
  </si>
  <si>
    <t>9IIFL26</t>
  </si>
  <si>
    <t>IIFL Finance Limited 9.0% 21-JUL-2026</t>
  </si>
  <si>
    <t>9PFL31A</t>
  </si>
  <si>
    <t>Piramal Finance Limited 9.0% 23-JUL-2031</t>
  </si>
  <si>
    <t>915SFL29A</t>
  </si>
  <si>
    <t>Shriram Finance Limited 9.15% 28-JUN-2029</t>
  </si>
  <si>
    <t>795MMFSL32</t>
  </si>
  <si>
    <t>Mahindra &amp; Mahindra Financial Services Ltd. 7.95% 24-JUL-2032</t>
  </si>
  <si>
    <t>890KFC29</t>
  </si>
  <si>
    <t>Kerala Financial Corporation 8.9% 30-MAR-2029</t>
  </si>
  <si>
    <t>930IIFL27</t>
  </si>
  <si>
    <t>IIFL Finance Limited 9.3% 21-APR-2027</t>
  </si>
  <si>
    <t>910RGICL26</t>
  </si>
  <si>
    <t>Reliance General Insurance Company Limited 9.1% 17-AUG-2026</t>
  </si>
  <si>
    <t>890KFC30</t>
  </si>
  <si>
    <t>Kerala Financial Corporation 8.9% 29-MAR-2030</t>
  </si>
  <si>
    <t>9AEL30</t>
  </si>
  <si>
    <t>Adani Enterprises Limited 9.0% 17-JUL-2030</t>
  </si>
  <si>
    <t>916IFCI27A</t>
  </si>
  <si>
    <t>IFCI Limited 9.16% 15-FEB-2027</t>
  </si>
  <si>
    <t>889KFC32</t>
  </si>
  <si>
    <t>Kerala Financial Corporation 8.89% 13-MAR-2032</t>
  </si>
  <si>
    <t>889SCL26</t>
  </si>
  <si>
    <t>Sammaan Capital Limited 9.25% 24-SEP-2026</t>
  </si>
  <si>
    <t>9FFSL30</t>
  </si>
  <si>
    <t>Fedbank Financial Services Limited 9.0% 26-APR-2030</t>
  </si>
  <si>
    <t>880MFL28</t>
  </si>
  <si>
    <t>Muthoot Fincorp Ltd. 8.8% 01-FEB-2028</t>
  </si>
  <si>
    <t>9SFL28A</t>
  </si>
  <si>
    <t>Shriram Finance Limited 9.0% 28-MAR-2028</t>
  </si>
  <si>
    <t>843SCL28</t>
  </si>
  <si>
    <t>Sammaan Capital Limited 8.43% 22-FEB-2028</t>
  </si>
  <si>
    <t>925SCL26G</t>
  </si>
  <si>
    <t>Sammaan Capital Limited 9.25% 28-AUG-2026</t>
  </si>
  <si>
    <t>843SCL28A</t>
  </si>
  <si>
    <t>Sammaan Capital Limited 8.43% 23-FEB-2028</t>
  </si>
  <si>
    <t>920SFL29</t>
  </si>
  <si>
    <t>Shriram Finance Limited 9.2% 22-MAY-2029</t>
  </si>
  <si>
    <t>790MMFSL27</t>
  </si>
  <si>
    <t>Mahindra &amp; Mahindra Financial Services Ltd. 7.9% 24-JUL-2027</t>
  </si>
  <si>
    <t>925SCL26E</t>
  </si>
  <si>
    <t>Sammaan Capital Limited 9.25% 25-SEP-2026</t>
  </si>
  <si>
    <t>95MMFSL29</t>
  </si>
  <si>
    <t>Mahindra &amp; Mahindra Financial Services Ltd. 9.5% 18-JAN-2029</t>
  </si>
  <si>
    <t>91MOFSL27</t>
  </si>
  <si>
    <t>Motilal Oswal Financial Services Limited 9.1% 09-MAY-2027</t>
  </si>
  <si>
    <t>925HLFL30</t>
  </si>
  <si>
    <t>Hinduja Leyland Finance Limited 9.25% 03-OCT-2030</t>
  </si>
  <si>
    <t>9YES26A</t>
  </si>
  <si>
    <t>YES Bank Limited 9.0% 31-MAR-2026</t>
  </si>
  <si>
    <t>927MFL26</t>
  </si>
  <si>
    <t>Muthoot Fincorp Ltd. 9.27% 01-NOV-2026</t>
  </si>
  <si>
    <t>88EFCL27</t>
  </si>
  <si>
    <t>Edelweiss Finvest Pvt Ltd. 8.8% 16-JUN-2027</t>
  </si>
  <si>
    <t>885AEL28</t>
  </si>
  <si>
    <t>Adani Enterprises Limited 8.85% 17-JUL-2028</t>
  </si>
  <si>
    <t>94MFCL26</t>
  </si>
  <si>
    <t>Muthoot Fincorp Ltd. 9.4% 30-OCT-2026</t>
  </si>
  <si>
    <t>925AFS26A</t>
  </si>
  <si>
    <t>Avanse Financial Services Limited 9.25% 01-FEB-2026</t>
  </si>
  <si>
    <t>9MMFSL26</t>
  </si>
  <si>
    <t>Mahindra &amp; Mahindra Financial Services Ltd. 9.0% 06-JUN-2026</t>
  </si>
  <si>
    <t>93SCL25</t>
  </si>
  <si>
    <t>Sammaan Capital Limited 9.3% 03-NOV-2025</t>
  </si>
  <si>
    <t>88MMFSL26</t>
  </si>
  <si>
    <t>Mahindra &amp; Mahindra Financial Services Ltd. 8.8% 06-JUN-2026</t>
  </si>
  <si>
    <t>9IIFL28A</t>
  </si>
  <si>
    <t>IIFL Finance Limited 9.0% 24-JAN-2028</t>
  </si>
  <si>
    <t>881TFC25</t>
  </si>
  <si>
    <t>Tourism Finance Corporation of India Limited 8.81% 09-NOV-2025</t>
  </si>
  <si>
    <t>93MMFSL27</t>
  </si>
  <si>
    <t>Mahindra &amp; Mahindra Financial Services Ltd. 9.3% 18-JAN-2027</t>
  </si>
  <si>
    <t>910TCAP28</t>
  </si>
  <si>
    <t>Tata Capital Financial Services Limited 9.1% 27-SEP-2028</t>
  </si>
  <si>
    <t>835SCL27</t>
  </si>
  <si>
    <t>Sammaan Capital Limited 8.35% 08-SEP-2027</t>
  </si>
  <si>
    <t>872SFL32</t>
  </si>
  <si>
    <t>Shriram Finance Limited 8.72% 17-AUG-2032</t>
  </si>
  <si>
    <t>875PFL26</t>
  </si>
  <si>
    <t>Piramal Finance Limited 8.75% 25-MAY-2026</t>
  </si>
  <si>
    <t>93ARKA25</t>
  </si>
  <si>
    <t>Arka Fincap Ltd. 9.3% 27-DEC-2025</t>
  </si>
  <si>
    <t>872MMFSL26</t>
  </si>
  <si>
    <t>Mahindra &amp; Mahindra Financial Services Ltd. 8.72% 06-JUN-2026</t>
  </si>
  <si>
    <t>927MFL26A</t>
  </si>
  <si>
    <t>Muthoot Fincorp Ltd. 9.27% 20-SEP-2026</t>
  </si>
  <si>
    <t>875PF26</t>
  </si>
  <si>
    <t>Piramal Finance Limited 8.75% 23-JUL-2026</t>
  </si>
  <si>
    <t>895EFSL26</t>
  </si>
  <si>
    <t>Edelweiss Financial Services Limited 8.95% 29-JAN-2026</t>
  </si>
  <si>
    <t>897UPPCL27</t>
  </si>
  <si>
    <t>UP Power Corporation Limited 8.97% 15-FEB-2027</t>
  </si>
  <si>
    <t>935PEL33</t>
  </si>
  <si>
    <t>Piramal Enterprises Ltd 9.35% 03-NOV-2033</t>
  </si>
  <si>
    <t>870MFL27</t>
  </si>
  <si>
    <t>Muthoot Fincorp Ltd. 8.7% 01-FEB-2027</t>
  </si>
  <si>
    <t>9JMFCSL26A</t>
  </si>
  <si>
    <t>JM Financial Credit Solutions Ltd. 9.0% 08-JUN-2026</t>
  </si>
  <si>
    <t>91SFL27</t>
  </si>
  <si>
    <t>Shriram Finance Limited 9.1% 28-JAN-2027</t>
  </si>
  <si>
    <t>92MMFSL27</t>
  </si>
  <si>
    <t>Mahindra &amp; Mahindra Financial Services Ltd. 9.2% 18-JAN-2027</t>
  </si>
  <si>
    <t>875SFL26</t>
  </si>
  <si>
    <t>Shriram Finance Limited 8.75% 15-JUN-2026</t>
  </si>
  <si>
    <t>815CFSL32</t>
  </si>
  <si>
    <t>Credila Financial Services Limited 8.15% 07-JUL-2032</t>
  </si>
  <si>
    <t>955AHFL26C</t>
  </si>
  <si>
    <t>Aadhar Housing Finance Limited 9.55% 31-MAR-2026</t>
  </si>
  <si>
    <t>875SF26</t>
  </si>
  <si>
    <t>Shriram Finance Limited 8.75% 04-MAY-2026</t>
  </si>
  <si>
    <t>872IFCI27D</t>
  </si>
  <si>
    <t>IFCI Limited 8.72% 31-MAR-2027</t>
  </si>
  <si>
    <t>885IHL26</t>
  </si>
  <si>
    <t>IIFL Home Finance Ltd. 8.85% 26-DEC-2026</t>
  </si>
  <si>
    <t>975AHFL28</t>
  </si>
  <si>
    <t>Aadhar Housing Finance Limited 9.75% 29-SEP-2028</t>
  </si>
  <si>
    <t>955SCPSL29</t>
  </si>
  <si>
    <t>SBI Cards and Payment Services Limited 9.55% 29-JAN-2029</t>
  </si>
  <si>
    <t>905LTF27</t>
  </si>
  <si>
    <t>L&amp;T Finance Limited 9.05% 15-APR-2027</t>
  </si>
  <si>
    <t>897REC29</t>
  </si>
  <si>
    <t>REC Limited 8.97% 28-MAR-2029</t>
  </si>
  <si>
    <t>885MOFSL26</t>
  </si>
  <si>
    <t>Motilal Oswal Financial Services Limited 8.85% 09-MAY-2026</t>
  </si>
  <si>
    <t>890KFC33</t>
  </si>
  <si>
    <t>Kerala Financial Corporation 8.9% 24-MAR-2033</t>
  </si>
  <si>
    <t>885TCAPS29</t>
  </si>
  <si>
    <t>Tata Capital Financial Services Limited 8.85% 26-AUG-2029</t>
  </si>
  <si>
    <t>925EFSL25</t>
  </si>
  <si>
    <t>Edelweiss Financial Services Limited 9.25% 20-OCT-2025</t>
  </si>
  <si>
    <t>854REC28</t>
  </si>
  <si>
    <t>REC Limited 8.54% 15-NOV-2028</t>
  </si>
  <si>
    <t>853MMFSL26</t>
  </si>
  <si>
    <t>Mahindra &amp; Mahindra Financial Services Ltd. 8.53% 06-JUN-2026</t>
  </si>
  <si>
    <t>84CIFCL28</t>
  </si>
  <si>
    <t>Cholamandalam Investment and finance Company Limited 8.4% 09-AUG-2028</t>
  </si>
  <si>
    <t>895AEL27</t>
  </si>
  <si>
    <t>Adani Enterprises Limited 8.95% 17-JUL-2027</t>
  </si>
  <si>
    <t>848UPPCL27</t>
  </si>
  <si>
    <t>UP Power Corporation Limited 8.48% 15-MAR-2027</t>
  </si>
  <si>
    <t>825MMFS27</t>
  </si>
  <si>
    <t>Mahindra &amp; Mahindra Financial Services Ltd. 8.25% 25-MAR-2027</t>
  </si>
  <si>
    <t>89267SFL27</t>
  </si>
  <si>
    <t>Shriram Finance Limited 8.9267% 20-JUL-2027</t>
  </si>
  <si>
    <t>9MFL25</t>
  </si>
  <si>
    <t>Muthoot Fincorp Ltd. 9.0% 01-NOV-2025</t>
  </si>
  <si>
    <t>905PEL26</t>
  </si>
  <si>
    <t>Piramal Enterprises Ltd 9.05% 03-NOV-2026</t>
  </si>
  <si>
    <t>885PFCL29</t>
  </si>
  <si>
    <t>Power Finance Corporation Limited 8.85% 25-MAY-2029</t>
  </si>
  <si>
    <t>865TCAPS27</t>
  </si>
  <si>
    <t>Tata Capital Financial Services Limited 8.65% 26-AUG-2027</t>
  </si>
  <si>
    <t>875IFCI26</t>
  </si>
  <si>
    <t>IFCI Limited 8.75% 12-DEC-2026</t>
  </si>
  <si>
    <t>85IFL26</t>
  </si>
  <si>
    <t>IIFL Finance Limited 8.5% 28-JUN-2026</t>
  </si>
  <si>
    <t>910MRHF26C</t>
  </si>
  <si>
    <t>Mahindra Rural Housing Finance Ltd. 9.1% 29-MAY-2026</t>
  </si>
  <si>
    <t>875IIFL26A</t>
  </si>
  <si>
    <t>IIFL Finance Limited 8.75% 24-JAN-2026</t>
  </si>
  <si>
    <t>855GPL29</t>
  </si>
  <si>
    <t>Godrej Properties Limited 8.55% 26-JUL-2029</t>
  </si>
  <si>
    <t>897UPPCL26</t>
  </si>
  <si>
    <t>UP Power Corporation Limited 8.97% 13-FEB-2026</t>
  </si>
  <si>
    <t>895EFSL25A</t>
  </si>
  <si>
    <t>Edelweiss Financial Services Limited 8.95% 26-OCT-2025</t>
  </si>
  <si>
    <t>885HFSL29</t>
  </si>
  <si>
    <t>HDB Financial Services Limited 8.85% 07-JUN-2029</t>
  </si>
  <si>
    <t>935LTF29</t>
  </si>
  <si>
    <t>L&amp;T Finance Ltd. (India) 9.35% 13-MAR-2029</t>
  </si>
  <si>
    <t>9PEL25</t>
  </si>
  <si>
    <t>Piramal Enterprises Ltd 9.0% 03-NOV-2025</t>
  </si>
  <si>
    <t>850CIFCL26</t>
  </si>
  <si>
    <t>Cholamandalam Investment and finance Company Limited 8.5% 07-DEC-2026</t>
  </si>
  <si>
    <t>835AFL27</t>
  </si>
  <si>
    <t>Axis Finance Limited 8.35% 07-MAY-2027</t>
  </si>
  <si>
    <t>830SFL25</t>
  </si>
  <si>
    <t>Shriram City Union Finance Limited 8.3% 07-OCT-2025</t>
  </si>
  <si>
    <t>875IIFL26</t>
  </si>
  <si>
    <t>IIFL Finance Limited 8.75% 14-OCT-2026</t>
  </si>
  <si>
    <t>833HDBFS27</t>
  </si>
  <si>
    <t>HDB Financial Services Limited 8.3333% 06-AUG-2027</t>
  </si>
  <si>
    <t>875JMFSL25</t>
  </si>
  <si>
    <t>JM Financial Services Ltd. 8.75% 20-NOV-2025</t>
  </si>
  <si>
    <t>85CIFC27</t>
  </si>
  <si>
    <t>Cholamandalam Investment and finance Company Limited 8.5% 31-JAN-2027</t>
  </si>
  <si>
    <t>88SCL25</t>
  </si>
  <si>
    <t>Sammaan Capital Limited 8.8% 03-NOV-2025</t>
  </si>
  <si>
    <t>850SFL26</t>
  </si>
  <si>
    <t>Shriram Finance Limited 8.5% 01-DEC-2026</t>
  </si>
  <si>
    <t>99SCL27V</t>
  </si>
  <si>
    <t>Sammaan Capital Limited 9.9% 27-DEC-2027</t>
  </si>
  <si>
    <t>PFCBT1S3</t>
  </si>
  <si>
    <t>Power Finance Corporation Limited 8.75% 21-NOV-2026</t>
  </si>
  <si>
    <t>PFCBS3</t>
  </si>
  <si>
    <t>Power Finance Corporation Limited 8.5% 31-MAR-2026</t>
  </si>
  <si>
    <t>840CIFCL28</t>
  </si>
  <si>
    <t>Cholamandalam Investment and finance Company Limited 8.4% 04-MAY-2028</t>
  </si>
  <si>
    <t>875CIFC23B</t>
  </si>
  <si>
    <t>Cholamandalam Investment and finance Company Limited 8.45% 31-JAN-2026</t>
  </si>
  <si>
    <t>830CIFC26</t>
  </si>
  <si>
    <t>Cholamandalam Investment and finance Company Limited 8.3% 04-JUN-2026</t>
  </si>
  <si>
    <t>830JMFPL30</t>
  </si>
  <si>
    <t>JM Financial Products Limited 8.3% 07-FEB-2030</t>
  </si>
  <si>
    <t>IIFCLBDIS3</t>
  </si>
  <si>
    <t>India Infrastructure Finance Co. Ltd. 8.3% 28-MAR-2026</t>
  </si>
  <si>
    <t>875SFL28</t>
  </si>
  <si>
    <t>Shriram Finance Limited 8.75% 28-APR-2028</t>
  </si>
  <si>
    <t>838AFL34</t>
  </si>
  <si>
    <t>Axis Finance Limited 8.38% 11-JAN-2034</t>
  </si>
  <si>
    <t>865LTF26</t>
  </si>
  <si>
    <t>L&amp;T Finance Limited 8.65% 23-DEC-2026</t>
  </si>
  <si>
    <t>812ABCL32A</t>
  </si>
  <si>
    <t>Aditya Birla Finance Limited 8.12% 18-NOV-2032</t>
  </si>
  <si>
    <t>850IIFL27</t>
  </si>
  <si>
    <t>IIFL Home Finance Ltd. 8.5% 03-JAN-2027</t>
  </si>
  <si>
    <t>770SBI38</t>
  </si>
  <si>
    <t>State Bank of India 7.7% 19-JAN-2038</t>
  </si>
  <si>
    <t>815BFL27</t>
  </si>
  <si>
    <t>Bajaj Finance Limited 8.15% 22-JUN-2027</t>
  </si>
  <si>
    <t>860CIFCL28</t>
  </si>
  <si>
    <t>Cholamandalam Investment and finance Company Limited 8.6% 07-DEC-2028</t>
  </si>
  <si>
    <t>850MFL29</t>
  </si>
  <si>
    <t>Muthoot Finance Limited 8.5% 25-JAN-2029</t>
  </si>
  <si>
    <t>824MMFSL34</t>
  </si>
  <si>
    <t>Mahindra &amp; Mahindra Financial Services Ltd. 8.24% 06-OCT-2034</t>
  </si>
  <si>
    <t>856REC28</t>
  </si>
  <si>
    <t>REC Limited 8.56% 29-NOV-2028</t>
  </si>
  <si>
    <t>81MMFSL26</t>
  </si>
  <si>
    <t>Mahindra &amp; Mahindra Financial Services Ltd. 8.1% 21-MAY-2026</t>
  </si>
  <si>
    <t>81LTF30</t>
  </si>
  <si>
    <t>L&amp;T Infrastructure Finance Company Limited 8.1% 28-JUN-2030</t>
  </si>
  <si>
    <t>965ARKA28</t>
  </si>
  <si>
    <t>Arka Fincap Ltd. 9.65% 27-DEC-2028</t>
  </si>
  <si>
    <t>850MFL27A</t>
  </si>
  <si>
    <t>Muthoot Finance Limited 8.5% 25-JAN-2027</t>
  </si>
  <si>
    <t>801ABCL28</t>
  </si>
  <si>
    <t>Aditya Birla Finance Limited 8.01% 02-MAY-2028</t>
  </si>
  <si>
    <t>845BFL26</t>
  </si>
  <si>
    <t>Bajaj Finance Limited 8.45% 29-SEP-2026</t>
  </si>
  <si>
    <t>802IHFCL30</t>
  </si>
  <si>
    <t>ICICI Home Finance Co. Ltd. 8.02% 10-JUN-2030</t>
  </si>
  <si>
    <t>85LTF26</t>
  </si>
  <si>
    <t>L&amp;T Finance Ltd. (India) 8.5% 23-DEC-2026</t>
  </si>
  <si>
    <t>810MFL2028</t>
  </si>
  <si>
    <t>Muthoot Finance Limited 8.1% 03-JUN-2028</t>
  </si>
  <si>
    <t>888IHFL25F</t>
  </si>
  <si>
    <t>Cholamandalam Investment and finance Company Limited 8.4% 07-DEC-2025</t>
  </si>
  <si>
    <t>87RECL28</t>
  </si>
  <si>
    <t>REC Limited 8.7% 28-SEP-2028</t>
  </si>
  <si>
    <t>84TCHF28</t>
  </si>
  <si>
    <t>Tata Capital Housing Finance Ltd. 8.4% 14-JAN-2028</t>
  </si>
  <si>
    <t>835MRHFL32</t>
  </si>
  <si>
    <t>Mahindra Rural Housing Finance Ltd. 8.35% 24-SEP-2032</t>
  </si>
  <si>
    <t>835IRFC29</t>
  </si>
  <si>
    <t>Indian Railway Finance Corporation Limited 8.35% 13-MAR-2029</t>
  </si>
  <si>
    <t>835NICL27</t>
  </si>
  <si>
    <t>National Insurance Co. Ltd. 8.35% 26-MAR-2027</t>
  </si>
  <si>
    <t>747ICICI27</t>
  </si>
  <si>
    <t>ICICI Bank Limited 7.47% 25-JUN-2027</t>
  </si>
  <si>
    <t>81MFL28</t>
  </si>
  <si>
    <t>Muthoot Finance Limited 8.1% 10-APR-2028</t>
  </si>
  <si>
    <t>8YES26</t>
  </si>
  <si>
    <t>YES Bank Limited 8.0% 30-SEP-2026</t>
  </si>
  <si>
    <t>825MFL2026</t>
  </si>
  <si>
    <t>Muthoot Finance Limited 8.25% 25-JAN-2026</t>
  </si>
  <si>
    <t>918MRHFL28</t>
  </si>
  <si>
    <t>Mahindra Rural Housing Finance Ltd. 9.18% 01-JUN-2028</t>
  </si>
  <si>
    <t>797IGT31</t>
  </si>
  <si>
    <t>IndiGrid Infrastructure Trust 7.97% 06-MAY-2031</t>
  </si>
  <si>
    <t>858OPAL29</t>
  </si>
  <si>
    <t>ONGC Petro Additions Limited 8.58% 09-NOV-2029</t>
  </si>
  <si>
    <t>850MRHF27B</t>
  </si>
  <si>
    <t>Mahindra Rural Housing Finance Ltd. 8.5% 15-JUN-2027</t>
  </si>
  <si>
    <t>TCHF30</t>
  </si>
  <si>
    <t>Tata Capital Housing Finance Ltd. 8.55% 14-JAN-2030</t>
  </si>
  <si>
    <t>827HFSL34</t>
  </si>
  <si>
    <t>HDB Financial Services Limited 8.27% 27-OCT-2034</t>
  </si>
  <si>
    <t>8LTF20</t>
  </si>
  <si>
    <t>L&amp;T Finance Limited 8.55% 28-JAN-2030</t>
  </si>
  <si>
    <t>8MFL2026</t>
  </si>
  <si>
    <t>Muthoot Finance Limited 8.0% 03-JUN-2026</t>
  </si>
  <si>
    <t>82IGT31</t>
  </si>
  <si>
    <t>IndiGrid Infrastructure Trust 8.2% 06-MAY-2031</t>
  </si>
  <si>
    <t>MFLV29E</t>
  </si>
  <si>
    <t>Muthoot Finance Limited 7.25% 05-MAY-2029</t>
  </si>
  <si>
    <t>797KIDF28</t>
  </si>
  <si>
    <t>Kotak Infrastructure Debt Fund Ltd. 7.97% 17-FEB-2028</t>
  </si>
  <si>
    <t>MFLVI31F</t>
  </si>
  <si>
    <t>Muthoot Finance Limited 8.0% 20-APR-2031</t>
  </si>
  <si>
    <t>811KMIL26</t>
  </si>
  <si>
    <t>Kotak Mahindra Investments Limited 8.1084% 18-AUG-2026</t>
  </si>
  <si>
    <t>83REC29</t>
  </si>
  <si>
    <t>REC Limited 8.3% 25-MAR-2029</t>
  </si>
  <si>
    <t>900KPL29</t>
  </si>
  <si>
    <t>Kamarajar Port Ltd. 9.0% 25-MAR-2029</t>
  </si>
  <si>
    <t>840HDBFS33</t>
  </si>
  <si>
    <t>HDB Financial Services Limited 8.4% 22-DEC-2033</t>
  </si>
  <si>
    <t>810ABHF28</t>
  </si>
  <si>
    <t>Aditya Birla Housing Finance Ltd. 8.1% 26-APR-2028</t>
  </si>
  <si>
    <t>75IHFCL30</t>
  </si>
  <si>
    <t>ICICI Home Finance Co. Ltd. 7.5% 08-NOV-2030</t>
  </si>
  <si>
    <t>8MFL26</t>
  </si>
  <si>
    <t>Muthoot Finance Limited 8.0% 10-APR-2026</t>
  </si>
  <si>
    <t>796REC30</t>
  </si>
  <si>
    <t>REC Limited 7.96% 15-JUN-2030</t>
  </si>
  <si>
    <t>824PGCIL29</t>
  </si>
  <si>
    <t>Power Grid Corporation of India Limited 8.24% 14-FEB-2029</t>
  </si>
  <si>
    <t>78HDFCB33</t>
  </si>
  <si>
    <t>HDFC Bank Limited 7.8% 03-MAY-2033</t>
  </si>
  <si>
    <t>798BHFL27</t>
  </si>
  <si>
    <t>Bajaj Housing Finance Limited 7.98% 18-NOV-2027</t>
  </si>
  <si>
    <t>781HPCL32</t>
  </si>
  <si>
    <t>Hindustan Petroleum Corporation Limited 7.81% 13-APR-2032</t>
  </si>
  <si>
    <t>732IGT31</t>
  </si>
  <si>
    <t>IndiGrid Infrastructure Trust 7.32% 27-JUN-2031</t>
  </si>
  <si>
    <t>879NHPC28</t>
  </si>
  <si>
    <t>NHPC Limited 8.79% 02-NOV-2028</t>
  </si>
  <si>
    <t>888IRFC29</t>
  </si>
  <si>
    <t>Indian Railway Finance Corporation Limited 8.88% 26-MAR-2029</t>
  </si>
  <si>
    <t>805MMFSL32</t>
  </si>
  <si>
    <t>Mahindra &amp; Mahindra Financial Services Ltd. 8.05% 24-JUL-2032</t>
  </si>
  <si>
    <t>880IIFCL29</t>
  </si>
  <si>
    <t>India Infrastructure Finance Co. Ltd. 8.8% 27-MAR-2029</t>
  </si>
  <si>
    <t>8MTNL32</t>
  </si>
  <si>
    <t>Mahanagar Telephone Nigam Limited 8.0% 15-NOV-2032</t>
  </si>
  <si>
    <t>8MFLTD28</t>
  </si>
  <si>
    <t>Muthoot Finance Limited 8.0% 04-OCT-2028</t>
  </si>
  <si>
    <t>800MMFSL27</t>
  </si>
  <si>
    <t>Mahindra &amp; Mahindra Financial Services Ltd. 8.0% 24-JUL-2027</t>
  </si>
  <si>
    <t>722HPCL29</t>
  </si>
  <si>
    <t>Hindustan Petroleum Corporation Limited 7.22% 28-AUG-2029</t>
  </si>
  <si>
    <t>79IGT28</t>
  </si>
  <si>
    <t>IndiGrid Infrastructure Trust 7.9% 06-MAY-2028</t>
  </si>
  <si>
    <t>79MMFSL27</t>
  </si>
  <si>
    <t>Mahindra &amp; Mahindra Financial Services Ltd. 7.9% 30-AUG-2027</t>
  </si>
  <si>
    <t>85JMFCSL31</t>
  </si>
  <si>
    <t>JM Financial Credit Solutions Ltd. 8.5% 18-JUL-2031</t>
  </si>
  <si>
    <t>900KPL34</t>
  </si>
  <si>
    <t>Kamarajar Port Ltd. 9.0% 25-MAR-2034</t>
  </si>
  <si>
    <t>855IRFC29</t>
  </si>
  <si>
    <t>Indian Railway Finance Corporation Limited 8.55% 21-FEB-2029</t>
  </si>
  <si>
    <t>MFLVI32F</t>
  </si>
  <si>
    <t>Muthoot Finance Limited 7.5% 05-MAY-2032</t>
  </si>
  <si>
    <t>769IGT28</t>
  </si>
  <si>
    <t>IndiGrid Infrastructure Trust 7.69% 06-MAY-2028</t>
  </si>
  <si>
    <t>854NHPC28</t>
  </si>
  <si>
    <t>NHPC Limited 8.54% 02-NOV-2028</t>
  </si>
  <si>
    <t>848IIFC29A</t>
  </si>
  <si>
    <t>India Infrastructure Finance Co. Ltd. 8.48% 22-JAN-2029</t>
  </si>
  <si>
    <t>812REC27</t>
  </si>
  <si>
    <t>REC Limited 8.12% 27-MAR-2027</t>
  </si>
  <si>
    <t>805ABCL28</t>
  </si>
  <si>
    <t>Aditya Birla Finance Limited 8.05% 09-OCT-2028</t>
  </si>
  <si>
    <t>772BFL33</t>
  </si>
  <si>
    <t>Bajaj Finance Limited 7.72% 23-MAY-2033</t>
  </si>
  <si>
    <t>770BHFL27</t>
  </si>
  <si>
    <t>Bajaj Housing Finance Limited 7.7% 21-MAY-2027</t>
  </si>
  <si>
    <t>888REC29</t>
  </si>
  <si>
    <t>REC Limited 8.88% 24-MAR-2029</t>
  </si>
  <si>
    <t>873IIFC29D</t>
  </si>
  <si>
    <t>India Infrastructure Finance Co. Ltd. 8.73% 22-JAN-2029</t>
  </si>
  <si>
    <t>815TSL26</t>
  </si>
  <si>
    <t>Tata Steel Limited 8.15% 01-OCT-2026</t>
  </si>
  <si>
    <t>863IRFC29</t>
  </si>
  <si>
    <t>Indian Railway Finance Corporation Limited 8.63% 26-MAR-2029</t>
  </si>
  <si>
    <t>820JMFPL26</t>
  </si>
  <si>
    <t>JM Financial Products Limited 8.2% 07-OCT-2026</t>
  </si>
  <si>
    <t>873NTPC28</t>
  </si>
  <si>
    <t>NTPC Limited 8.73% 16-DEC-2028</t>
  </si>
  <si>
    <t>865IRFC29</t>
  </si>
  <si>
    <t>Indian Railway Finance Corporation Limited 8.65% 18-FEB-2029</t>
  </si>
  <si>
    <t>8ABCL26</t>
  </si>
  <si>
    <t>Aditya Birla Finance Limited 8.0% 09-OCT-2026</t>
  </si>
  <si>
    <t>79NHIT40</t>
  </si>
  <si>
    <t>National Highways Infra Trust 7.9% 25-OCT-2040</t>
  </si>
  <si>
    <t>79NHIT35</t>
  </si>
  <si>
    <t>National Highways Infra Trust 7.9% 25-OCT-2035</t>
  </si>
  <si>
    <t>785IRFC34</t>
  </si>
  <si>
    <t>Indian Railway Finance Corporation Limited 7.85% 01-JUL-2034</t>
  </si>
  <si>
    <t>8MFLTD26</t>
  </si>
  <si>
    <t>Muthoot Finance Limited 8.0% 04-OCT-2026</t>
  </si>
  <si>
    <t>750PFCL26</t>
  </si>
  <si>
    <t>Power Finance Corporation Limited 7.5% 01-AUG-2026</t>
  </si>
  <si>
    <t>775PFCL27</t>
  </si>
  <si>
    <t>Power Finance Corporation Limited 7.75% 22-MAR-2027</t>
  </si>
  <si>
    <t>855IIFCL29</t>
  </si>
  <si>
    <t>India Infrastructure Finance Co. Ltd. 8.55% 27-MAR-2029</t>
  </si>
  <si>
    <t>775MFL27</t>
  </si>
  <si>
    <t>Muthoot Finance Limited 7.75% 23-DEC-2027</t>
  </si>
  <si>
    <t>879PFCL28</t>
  </si>
  <si>
    <t>Power Finance Corporation Limited 8.79% 16-NOV-2028</t>
  </si>
  <si>
    <t>863IIFCL28</t>
  </si>
  <si>
    <t>India Infrastructure Finance Co. Ltd. 8.63% 12-NOV-2028</t>
  </si>
  <si>
    <t>871REC28</t>
  </si>
  <si>
    <t>REC Limited 8.71% 24-SEP-2028</t>
  </si>
  <si>
    <t>797HDFCB33</t>
  </si>
  <si>
    <t>HDFC Bank Limited 7.97% 17-FEB-2033</t>
  </si>
  <si>
    <t>863REC29</t>
  </si>
  <si>
    <t>REC Limited 8.63% 24-MAR-2029</t>
  </si>
  <si>
    <t>846PFCL28</t>
  </si>
  <si>
    <t>Power Finance Corporation Limited 8.46% 30-AUG-2028</t>
  </si>
  <si>
    <t>9TCAP28</t>
  </si>
  <si>
    <t>Tata Capital Financial Services Limited 9.0% 27-SEP-2028</t>
  </si>
  <si>
    <t>840IRFC29</t>
  </si>
  <si>
    <t>Indian Railway Finance Corporation Limited 8.4% 18-FEB-2029</t>
  </si>
  <si>
    <t>81ABCL33</t>
  </si>
  <si>
    <t>Aditya Birla Finance Limited 8.1% 09-OCT-2033</t>
  </si>
  <si>
    <t>758NTPC26</t>
  </si>
  <si>
    <t>NTPC Limited 7.58% 23-AUG-2026</t>
  </si>
  <si>
    <t>755PFCL38</t>
  </si>
  <si>
    <t>Power Finance Corporation Limited 7.55% 01-AUG-2038</t>
  </si>
  <si>
    <t>830PFCL27</t>
  </si>
  <si>
    <t>Power Finance Corporation Limited 8.3% 01-FEB-2027</t>
  </si>
  <si>
    <t>838IIFCL28</t>
  </si>
  <si>
    <t>India Infrastructure Finance Co. Ltd. 8.38% 12-NOV-2028</t>
  </si>
  <si>
    <t>854REC2028</t>
  </si>
  <si>
    <t>REC Limited 8.54% 11-OCT-2028</t>
  </si>
  <si>
    <t>854PFCL28</t>
  </si>
  <si>
    <t>Power Finance Corporation Limited 8.54% 16-NOV-2028</t>
  </si>
  <si>
    <t>745THDC31</t>
  </si>
  <si>
    <t>THDC India Ltd. 7.45% 20-JAN-2031</t>
  </si>
  <si>
    <t>753PFCL33</t>
  </si>
  <si>
    <t>Power Finance Corporation Limited 7.53% 01-AUG-2033</t>
  </si>
  <si>
    <t>775PFCL30</t>
  </si>
  <si>
    <t>Power Finance Corporation Limited 7.75% 11-JUN-2030</t>
  </si>
  <si>
    <t>MFLV26E</t>
  </si>
  <si>
    <t>Muthoot Finance Limited 7.6% 20-APR-2026</t>
  </si>
  <si>
    <t>846REC28</t>
  </si>
  <si>
    <t>REC Limited 8.46% 24-SEP-2028</t>
  </si>
  <si>
    <t>79NHIT47</t>
  </si>
  <si>
    <t>National Highways Infra Trust 7.9% 25-OCT-2047</t>
  </si>
  <si>
    <t>751SBI32</t>
  </si>
  <si>
    <t>State Bank of India 7.51% 06-DEC-2032</t>
  </si>
  <si>
    <t>76IGT26</t>
  </si>
  <si>
    <t>IndiGrid Infrastructure Trust 7.6% 06-MAY-2026</t>
  </si>
  <si>
    <t>875KPL29</t>
  </si>
  <si>
    <t>Kamarajar Port Ltd. 8.75% 25-MAR-2029</t>
  </si>
  <si>
    <t>848IIFC28B</t>
  </si>
  <si>
    <t>India Infrastructure Finance Co. Ltd. 8.48% 05-SEP-2028</t>
  </si>
  <si>
    <t>663PFCL31</t>
  </si>
  <si>
    <t>Power Finance Corporation Limited 6.63% 22-JAN-2031</t>
  </si>
  <si>
    <t>748IRFC34</t>
  </si>
  <si>
    <t>Indian Railway Finance Corporation Limited 7.48% 29-AUG-2034</t>
  </si>
  <si>
    <t>810IRFC27</t>
  </si>
  <si>
    <t>Indian Railway Finance Corporation Limited 8.1% 23-FEB-2027</t>
  </si>
  <si>
    <t>76BFL27</t>
  </si>
  <si>
    <t>Bajaj Finance Limited 7.6% 25-AUG-2027</t>
  </si>
  <si>
    <t>MFLV29</t>
  </si>
  <si>
    <t>Muthoot Finance Limited 7.5% 23-JUN-2029</t>
  </si>
  <si>
    <t>768PFCL30</t>
  </si>
  <si>
    <t>Power Finance Corporation Limited 7.68% 15-JUL-2030</t>
  </si>
  <si>
    <t>848NTPC28</t>
  </si>
  <si>
    <t>NTPC Limited 8.48% 16-DEC-2028</t>
  </si>
  <si>
    <t>785PFCL28</t>
  </si>
  <si>
    <t>Power Finance Corporation Limited 7.85% 03-APR-2028</t>
  </si>
  <si>
    <t>754SBI38</t>
  </si>
  <si>
    <t>State Bank of India 7.54% 01-AUG-2038</t>
  </si>
  <si>
    <t>725ICICI31</t>
  </si>
  <si>
    <t>ICICI Home Finance Co. Ltd. 7.25% 12-AUG-2031</t>
  </si>
  <si>
    <t>755REC30</t>
  </si>
  <si>
    <t>REC Limited 7.55% 11-MAY-2030</t>
  </si>
  <si>
    <t>765HFSL27</t>
  </si>
  <si>
    <t>HDB Financial Services Limited 7.65% 10-SEP-2027</t>
  </si>
  <si>
    <t>753NABRD28</t>
  </si>
  <si>
    <t>National Bank for Agriculture &amp; Rural Development 7.53% 24-MAR-2028</t>
  </si>
  <si>
    <t>760MFL25</t>
  </si>
  <si>
    <t>Muthoot Finance Limited 7.6% 23-DEC-2025</t>
  </si>
  <si>
    <t>765PFCL27</t>
  </si>
  <si>
    <t>Power Finance Corporation Limited 7.65% 22-NOV-2027</t>
  </si>
  <si>
    <t>MFOPTIV24</t>
  </si>
  <si>
    <t>Muthoot Finance Limited 7.75% 05-NOV-2025</t>
  </si>
  <si>
    <t>MFLIV27</t>
  </si>
  <si>
    <t>Muthoot Finance Limited 7.25% 23-JUN-2027</t>
  </si>
  <si>
    <t>745MMFSL31</t>
  </si>
  <si>
    <t>Mahindra &amp; Mahindra Financial Services Ltd. 7.45% 17-NOV-2031</t>
  </si>
  <si>
    <t>725IOCL30</t>
  </si>
  <si>
    <t>Indian Oil Corporation Limited 7.25% 06-JAN-2030</t>
  </si>
  <si>
    <t>777IRFC26</t>
  </si>
  <si>
    <t>Indian Railway Finance Corporation Limited 7.77% 08-NOV-2026</t>
  </si>
  <si>
    <t>705MTNL30</t>
  </si>
  <si>
    <t>Mahanagar Telephone Nigam Limited 7.05% 11-OCT-2030</t>
  </si>
  <si>
    <t>775PFCL26</t>
  </si>
  <si>
    <t>Power Finance Corporation Limited 7.75% 15-OCT-2026</t>
  </si>
  <si>
    <t>697PFCL36</t>
  </si>
  <si>
    <t>Power Finance Corporation Limited 6.97% 22-JAN-2036</t>
  </si>
  <si>
    <t>MFLIV26</t>
  </si>
  <si>
    <t>Muthoot Finance Limited 7.35% 11-JAN-2026</t>
  </si>
  <si>
    <t>711NTPC25A</t>
  </si>
  <si>
    <t>NTPC Limited 7.11% 05-OCT-2025</t>
  </si>
  <si>
    <t>925IHFL25E</t>
  </si>
  <si>
    <t>Cholamandalam Investment and finance Company Limited 8.3% 09-SEP-2026</t>
  </si>
  <si>
    <t>729NABAR26</t>
  </si>
  <si>
    <t>National Bank for Agriculture &amp; Rural Development 7.29% 23-MAR-2026</t>
  </si>
  <si>
    <t>892NHPC33</t>
  </si>
  <si>
    <t>NHPC Limited 8.92% 02-NOV-2033</t>
  </si>
  <si>
    <t>741PFCL30</t>
  </si>
  <si>
    <t>Power Finance Corporation Limited 7.41% 25-FEB-2030</t>
  </si>
  <si>
    <t>880IIFCL34</t>
  </si>
  <si>
    <t>India Infrastructure Finance Co. Ltd. 8.8% 27-MAR-2034</t>
  </si>
  <si>
    <t>704NABAR26</t>
  </si>
  <si>
    <t>National Bank for Agriculture &amp; Rural Development 7.04% 23-MAR-2026</t>
  </si>
  <si>
    <t>715PFCL36</t>
  </si>
  <si>
    <t>Power Finance Corporation Limited 7.15% 22-JAN-2036</t>
  </si>
  <si>
    <t>738IRFC27B</t>
  </si>
  <si>
    <t>Indian Railway Finance Corporation Limited 7.38% 30-NOV-2027</t>
  </si>
  <si>
    <t>754IRFC34</t>
  </si>
  <si>
    <t>Indian Railway Finance Corporation Limited 7.54% 29-JUL-2034</t>
  </si>
  <si>
    <t>855IIFCL34</t>
  </si>
  <si>
    <t>India Infrastructure Finance Co. Ltd. 8.55% 27-MAR-2034</t>
  </si>
  <si>
    <t>705HDFCB31</t>
  </si>
  <si>
    <t>HDFC Bank Limited 7.05% 01-DEC-2031</t>
  </si>
  <si>
    <t>867NHPC33</t>
  </si>
  <si>
    <t>NHPC Limited 8.67% 02-NOV-2033</t>
  </si>
  <si>
    <t>848IRFC28B</t>
  </si>
  <si>
    <t>Indian Railway Finance Corporation Limited 8.48% 21-NOV-2028</t>
  </si>
  <si>
    <t>MFLV27</t>
  </si>
  <si>
    <t>Muthoot Finance Limited 7.5% 03-NOV-2027</t>
  </si>
  <si>
    <t>707NABAR26</t>
  </si>
  <si>
    <t>National Bank for Agriculture &amp; Rural Development 7.07% 25-FEB-2026</t>
  </si>
  <si>
    <t>717KPL28</t>
  </si>
  <si>
    <t>Kamarajar Port Ltd. 7.17% 25-MAR-2028</t>
  </si>
  <si>
    <t>695PFCL36</t>
  </si>
  <si>
    <t>Power Finance Corporation Limited 6.95% 22-JAN-2036</t>
  </si>
  <si>
    <t>891IIFCL34</t>
  </si>
  <si>
    <t>India Infrastructure Finance Co. Ltd. 8.91% 22-JAN-2034</t>
  </si>
  <si>
    <t>692BFL30</t>
  </si>
  <si>
    <t>Bajaj Finance Limited 6.92% 24-DEC-2030</t>
  </si>
  <si>
    <t>736PFCL25</t>
  </si>
  <si>
    <t>Power Finance Corporation Limited 7.36% 17-OCT-2025</t>
  </si>
  <si>
    <t>862REC33</t>
  </si>
  <si>
    <t>REC Limited 8.62% 24-SEP-2033</t>
  </si>
  <si>
    <t>7PFCL31</t>
  </si>
  <si>
    <t>Power Finance Corporation Limited 7.0% 22-JAN-2031</t>
  </si>
  <si>
    <t>7IIL25</t>
  </si>
  <si>
    <t>India Infradebt Ltd. 7.0% 12-NOV-2025</t>
  </si>
  <si>
    <t>892PFCL33</t>
  </si>
  <si>
    <t>Power Finance Corporation Limited 8.92% 16-NOV-2033</t>
  </si>
  <si>
    <t>MFLIV25</t>
  </si>
  <si>
    <t>Muthoot Finance Limited 7.25% 03-NOV-2025</t>
  </si>
  <si>
    <t>682PFCL31</t>
  </si>
  <si>
    <t>Power Finance Corporation Limited 6.82% 22-JAN-2031</t>
  </si>
  <si>
    <t>720PFC35</t>
  </si>
  <si>
    <t>Power Finance Corporation Limited 7.2% 10-AUG-2035</t>
  </si>
  <si>
    <t>866IIFC34B</t>
  </si>
  <si>
    <t>India Infrastructure Finance Co. Ltd. 8.66% 22-JAN-2034</t>
  </si>
  <si>
    <t>704IRFC26</t>
  </si>
  <si>
    <t>Indian Railway Finance Corporation Limited 7.04% 22-MAR-2026</t>
  </si>
  <si>
    <t>732IRFC25</t>
  </si>
  <si>
    <t>Indian Railway Finance Corporation Limited 7.32% 21-DEC-2025</t>
  </si>
  <si>
    <t>723BOB35</t>
  </si>
  <si>
    <t>Bank of Baroda 7.23% 16-JAN-2035</t>
  </si>
  <si>
    <t>MFLIV27D</t>
  </si>
  <si>
    <t>Muthoot Finance Limited 7.0% 05-MAY-2027</t>
  </si>
  <si>
    <t>736NTPC25D</t>
  </si>
  <si>
    <t>NTPC Limited 7.36% 05-OCT-2025</t>
  </si>
  <si>
    <t>736IIFCL28</t>
  </si>
  <si>
    <t>India Infrastructure Finance Co. Ltd. 7.36% 22-JAN-2028</t>
  </si>
  <si>
    <t>729IRFC26</t>
  </si>
  <si>
    <t>Indian Railway Finance Corporation Limited 7.29% 22-MAR-2026</t>
  </si>
  <si>
    <t>875IIFCL33</t>
  </si>
  <si>
    <t>India Infrastructure Finance Co. Ltd. 8.75% 12-NOV-2033</t>
  </si>
  <si>
    <t>681RL36</t>
  </si>
  <si>
    <t>REC Limited 6.81% 30-APR-2036</t>
  </si>
  <si>
    <t>714REC25</t>
  </si>
  <si>
    <t>REC Limited 7.14% 05-NOV-2025</t>
  </si>
  <si>
    <t>736PFCL28</t>
  </si>
  <si>
    <t>Power Finance Corporation Limited 7.36% 04-JAN-2028</t>
  </si>
  <si>
    <t>764NABAR31</t>
  </si>
  <si>
    <t>National Bank for Agriculture &amp; Rural Development 7.64% 23-MAR-2031</t>
  </si>
  <si>
    <t>891NTPC33</t>
  </si>
  <si>
    <t>NTPC Limited 8.91% 16-DEC-2033</t>
  </si>
  <si>
    <t>689RECL24</t>
  </si>
  <si>
    <t>REC Limited 6.89% 05-NOV-2025</t>
  </si>
  <si>
    <t>699ABL31</t>
  </si>
  <si>
    <t>Axis Bank Limited 6.99% 22-DEC-2031</t>
  </si>
  <si>
    <t>705PFC30</t>
  </si>
  <si>
    <t>Power Finance Corporation Limited 7.05% 09-AUG-2030</t>
  </si>
  <si>
    <t>738REC27TF</t>
  </si>
  <si>
    <t>REC Limited 7.38% 19-DEC-2027</t>
  </si>
  <si>
    <t>707IRFC25</t>
  </si>
  <si>
    <t>Indian Railway Finance Corporation Limited 7.07% 21-DEC-2025</t>
  </si>
  <si>
    <t>875KPL34</t>
  </si>
  <si>
    <t>Kamarajar Port Ltd. 8.75% 25-MAR-2034</t>
  </si>
  <si>
    <t>649NABAR30</t>
  </si>
  <si>
    <t>National Bank for Agriculture &amp; Rural Development 6.49% 30-DEC-2030</t>
  </si>
  <si>
    <t>867PFCL33</t>
  </si>
  <si>
    <t>Power Finance Corporation Limited 8.67% 16-NOV-2033</t>
  </si>
  <si>
    <t>886REC34</t>
  </si>
  <si>
    <t>REC Limited 8.86% 24-MAR-2034</t>
  </si>
  <si>
    <t>866NTPC33</t>
  </si>
  <si>
    <t>NTPC Limited 8.66% 16-DEC-2033</t>
  </si>
  <si>
    <t>850IIFCL33</t>
  </si>
  <si>
    <t>India Infrastructure Finance Co. Ltd. 8.5% 12-NOV-2033</t>
  </si>
  <si>
    <t>709REC30</t>
  </si>
  <si>
    <t>REC Limited 7.09% 05-NOV-2030</t>
  </si>
  <si>
    <t>734IRFC28</t>
  </si>
  <si>
    <t>Indian Railway Finance Corporation Limited 7.34% 19-FEB-2028</t>
  </si>
  <si>
    <t>704PFCL28</t>
  </si>
  <si>
    <t>Power Finance Corporation Limited 7.04% 28-MAR-2028</t>
  </si>
  <si>
    <t>702IIFCL28</t>
  </si>
  <si>
    <t>India Infrastructure Finance Co. Ltd. 7.02% 26-MAR-2028</t>
  </si>
  <si>
    <t>753NTPC30E</t>
  </si>
  <si>
    <t>NTPC Limited 7.53% 05-OCT-2030</t>
  </si>
  <si>
    <t>764IRFC31</t>
  </si>
  <si>
    <t>Indian Railway Finance Corporation Limited 7.64% 22-MAR-2031</t>
  </si>
  <si>
    <t>752PFCL30</t>
  </si>
  <si>
    <t>Power Finance Corporation Limited 7.52% 17-OCT-2030</t>
  </si>
  <si>
    <t>734REC30</t>
  </si>
  <si>
    <t>REC Limited 7.34% 05-NOV-2030</t>
  </si>
  <si>
    <t>753IRFC30</t>
  </si>
  <si>
    <t>Indian Railway Finance Corporation Limited 7.53% 21-DEC-2030</t>
  </si>
  <si>
    <t>704IRFC28</t>
  </si>
  <si>
    <t>Indian Railway Finance Corporation Limited 7.04% 23-MAR-2028</t>
  </si>
  <si>
    <t>704REC28</t>
  </si>
  <si>
    <t>REC Limited 7.04% 25-MAR-2028</t>
  </si>
  <si>
    <t>738REC27</t>
  </si>
  <si>
    <t>REC Limited 7.38% 21-NOV-2027</t>
  </si>
  <si>
    <t>735NABAR31</t>
  </si>
  <si>
    <t>National Bank for Agriculture &amp; Rural Development 7.35% 23-MAR-2031</t>
  </si>
  <si>
    <t>680SBI35</t>
  </si>
  <si>
    <t>State Bank of India 6.8% 21-AUG-2035</t>
  </si>
  <si>
    <t>728IRFC30</t>
  </si>
  <si>
    <t>Indian Railway Finance Corporation Limited 7.28% 21-DEC-2030</t>
  </si>
  <si>
    <t>740IIFCL33</t>
  </si>
  <si>
    <t>India Infrastructure Finance Co. Ltd. 7.4% 22-JAN-2033</t>
  </si>
  <si>
    <t>704IRFC26A</t>
  </si>
  <si>
    <t>Indian Railway Finance Corporation Limited 7.04% 03-MAR-2026</t>
  </si>
  <si>
    <t>728NTPC30B</t>
  </si>
  <si>
    <t>NTPC Limited 7.28% 05-OCT-2030</t>
  </si>
  <si>
    <t>708IIFCL33</t>
  </si>
  <si>
    <t>India Infrastructure Finance Co. Ltd. 7.08% 26-MAR-2033</t>
  </si>
  <si>
    <t>735IRFC31</t>
  </si>
  <si>
    <t>Indian Railway Finance Corporation Limited 7.35% 22-MAR-2031</t>
  </si>
  <si>
    <t>741IIFC32</t>
  </si>
  <si>
    <t>India Infrastructure Finance Co. Ltd. 7.41% 15-NOV-2032</t>
  </si>
  <si>
    <t>735PFCL35</t>
  </si>
  <si>
    <t>Power Finance Corporation Limited 7.35% 17-OCT-2035</t>
  </si>
  <si>
    <t>837REC33</t>
  </si>
  <si>
    <t>REC Limited 8.37% 24-SEP-2033</t>
  </si>
  <si>
    <t>750IRFC35</t>
  </si>
  <si>
    <t>Indian Railway Finance Corporation Limited 7.5% 21-DEC-2035</t>
  </si>
  <si>
    <t>760PFCL35</t>
  </si>
  <si>
    <t>Power Finance Corporation Limited 7.6% 17-OCT-2035</t>
  </si>
  <si>
    <t>743REC35</t>
  </si>
  <si>
    <t>REC Limited 7.43% 05-NOV-2035</t>
  </si>
  <si>
    <t>718REC35</t>
  </si>
  <si>
    <t>REC Limited 7.18% 05-NOV-2035</t>
  </si>
  <si>
    <t>762NTPC35F</t>
  </si>
  <si>
    <t>NTPC Limited 7.62% 05-OCT-2035</t>
  </si>
  <si>
    <t>711PFCL25</t>
  </si>
  <si>
    <t>Power Finance Corporation Limited 7.11% 17-OCT-2025</t>
  </si>
  <si>
    <t>58PFCL26</t>
  </si>
  <si>
    <t>Power Finance Corporation Limited 5.8% 22-JAN-2026</t>
  </si>
  <si>
    <t>EELGSEC27</t>
  </si>
  <si>
    <t>Ecap Equities Ltd. 5.0% 12-MAR-2027</t>
  </si>
  <si>
    <t>725IRFC35</t>
  </si>
  <si>
    <t>Indian Railway Finance Corporation Limited 7.25% 21-DEC-2035</t>
  </si>
  <si>
    <t>737NTPC35C</t>
  </si>
  <si>
    <t>NTPC Limited 7.37% 05-OCT-2035</t>
  </si>
  <si>
    <t>Term to Maturity</t>
  </si>
  <si>
    <t>Frequency</t>
  </si>
  <si>
    <t>Total no. of Coupon</t>
  </si>
  <si>
    <t>Coupon Payment</t>
  </si>
  <si>
    <t>Duration</t>
  </si>
  <si>
    <t>Portfolio</t>
  </si>
  <si>
    <t>Weight</t>
  </si>
  <si>
    <t>Weighted average duration</t>
  </si>
  <si>
    <t>Coupon</t>
  </si>
  <si>
    <t>Coupon Yield</t>
  </si>
  <si>
    <t>Total Investment</t>
  </si>
  <si>
    <t>Current Value MTM</t>
  </si>
  <si>
    <t>Total Unrealized PnL</t>
  </si>
  <si>
    <t>Total Accrued Interest</t>
  </si>
  <si>
    <t>Total PnL%</t>
  </si>
  <si>
    <t xml:space="preserve">Modified Duration </t>
  </si>
  <si>
    <t>Investment Strategy Report: Fixed Income Portfolio Construction</t>
  </si>
  <si>
    <r>
      <rPr>
        <b/>
        <sz val="16"/>
        <color rgb="FF000000"/>
        <rFont val="Times New Roman"/>
        <family val="1"/>
      </rPr>
      <t>Strategy</t>
    </r>
    <r>
      <rPr>
        <sz val="16"/>
        <color rgb="FF000000"/>
        <rFont val="Times New Roman"/>
        <family val="1"/>
      </rPr>
      <t xml:space="preserve">: Barbell Strategy (Long/Short Volatility Optimization)
</t>
    </r>
    <r>
      <rPr>
        <b/>
        <sz val="16"/>
        <color rgb="FF000000"/>
        <rFont val="Times New Roman"/>
        <family val="1"/>
      </rPr>
      <t>Market Outlook</t>
    </r>
    <r>
      <rPr>
        <sz val="16"/>
        <color rgb="FF000000"/>
        <rFont val="Times New Roman"/>
        <family val="1"/>
      </rPr>
      <t xml:space="preserve">: Uncertain/Volatile Interest Rate Environment
</t>
    </r>
    <r>
      <rPr>
        <b/>
        <sz val="16"/>
        <color rgb="FF000000"/>
        <rFont val="Times New Roman"/>
        <family val="1"/>
      </rPr>
      <t>Objective:</t>
    </r>
    <r>
      <rPr>
        <sz val="16"/>
        <color rgb="FF000000"/>
        <rFont val="Times New Roman"/>
        <family val="1"/>
      </rPr>
      <t xml:space="preserve"> To construct a risk-neutral portfolio that optimizes "Carry" (Yield) while maximizing "Convexity" to protect against large interest rate swings.</t>
    </r>
  </si>
  <si>
    <t>1. Executive Summary</t>
  </si>
  <si>
    <t>This portfolio employs a Barbell Strategy, concentrating capital in two distinct buckets: short-term, high-coupon bonds for liquidity and income, and long-term bonds for convexity and capital appreciation. The selection process utilized a rigorous quantitative filter, moving from gross yield analysis to granular "Rich/Cheap" valuation, and finally optimizing for Duration and Convexity to ensure the portfolio is resilient to non-parallel shifts in the yield curve.</t>
  </si>
  <si>
    <t>2. Investment Methodology &amp; Rationale</t>
  </si>
  <si>
    <t>Phase I: Universe Filtering &amp; Valuation
Step 1: Yield Computation
• Action: Calculated the Internal Rate of Return (IRR) and Annualized Yield for the entire universe of available bonds.
• Rationale: We established a standardized baseline for return. Since bonds have varying payment frequencies and maturities, Annualized Yield provides a comparable "true return" metric beyond the nominal coupon rate.
Step 2: Cluster Formation (Similarity Grouping)
• Action: Grouped bonds into "Similarity Clusters" using a 5% Band (based on Price/Maturity) to ensure like-for-like comparison.
• Rationale: Comparing a 2-year bond to a 10-year bond is invalid. By clustering bonds within tight bands, we isolated the idiosyncratic mispricing. This ensures that any "excess yield" found is due to market inefficiency, not just term premium or structural differences.
Step 3: Identification of "Cheap" Bonds
• Action: Calculated the Mean Yield for each cluster. Bonds with a yield above the cluster mean were flagged as "Cheap."
Rationale: In fixed income, "Cheap" implies the price is lower than statistically predicted by its peers. This step identifies candidates that offer higher compensation (yield) for similar risk profiles.</t>
  </si>
  <si>
    <t>Phase II: Quality &amp; Risk Filtering
Step 4: Liquidity &amp; Income Screening
• Action: Applied two critical filters to the "Cheap" candidates:
  1. Liquidity: Trading Volume &gt; 20.
  2. Income: Selection of High Coupon % bonds.
• Rationale:
o Liquidity: Cheap bonds are often cheap because they are illiquid (Liquidity Premium). By filtering for volume, we avoid "Value Traps"—bonds we can buy but cannot exit.
  o High Coupon: In a Barbell strategy, the short leg requires high "Carry" (cash flow) to stabilize the portfolio. High coupons reduce Modified Duration, lowering immediate price volatility.
Step 5: Sensitivity Analysis &amp; Allocation (Barbell Formation) 
• Action: Simulated price reactions to interest rate changes ($\Delta y$). Bonds with excessive sensitivity (Duration) outside our strategic targets were eliminated. The remaining capital was allocated to: 
  o Short End: Low Duration / High Coupon (Stability). 
  o Long End: High Duration (Convexity/Speculation). 
• Rationale: This creates the Barbell. We avoided intermediate bonds (the "Belly" of the curve) because they offer average yields with average risk. In an uncertain outlook, we prefer the safety of the short end combined with the explosive upside of the long end.</t>
  </si>
  <si>
    <t xml:space="preserve">Phase III: Convexity Optimization &amp; Final Selection 
Step 6: Convexity Comparison 
• Action: Among bonds with similar Duration, selected those with Higher Convexity. 
• Rationale: Convexity is the "second derivative" of price. 
  o If rates fall, high convexity bonds rise faster. 
  o If rates rise, high convexity bonds fall slower.
  o By choosing higher convexity for the same duration, we gained "free" risk protection.
Step 7: Scenario Testing (Price Change Calculation) 
• Action: Calculated the predicted price change for potential constituents using 
the Taylor Series expansion:
• Rationale: This stress-tested our thesis. It quantified exactly how the "Cheap" bonds would behave under a shock. We ensured that the "Convexity Benefit" (the second term) was significant enough to justify holding the long-duration assets. 
Step 8: Final Rich/Cheap Re-evaluation 
• Action: Re-ran the Rich/Cheap analysis on the final shortlist after all risk adjustments. 
• Rationale: A bond that looked "Cheap" in Step 3 might look "Rich" (expensive) after adjusting for its convexity and liquidity risks. This final check ensures we are not just buying risk but buying mispriced value. 
</t>
  </si>
  <si>
    <t>3. Portfolio Composition &amp; Outlook</t>
  </si>
  <si>
    <t>Based on this methodology, the final portfolio is structured as follows:</t>
  </si>
  <si>
    <t>Leg</t>
  </si>
  <si>
    <t>Allocation</t>
  </si>
  <si>
    <t>Characteristics</t>
  </si>
  <si>
    <t>Role in Portfolio</t>
  </si>
  <si>
    <t>Short Leg</t>
  </si>
  <si>
    <t>High Coupon, Low Duration</t>
  </si>
  <si>
    <t>Long Leg</t>
  </si>
  <si>
    <t>High Convexity, High Duration</t>
  </si>
  <si>
    <r>
      <t>Income Generator.</t>
    </r>
    <r>
      <rPr>
        <sz val="16"/>
        <color rgb="FF1F1F1F"/>
        <rFont val="Times New Roman"/>
        <family val="1"/>
      </rPr>
      <t xml:space="preserve"> Provides steady cash flow and low sensitivity to rate hikes.</t>
    </r>
  </si>
  <si>
    <r>
      <t>Insurance/Upside.</t>
    </r>
    <r>
      <rPr>
        <sz val="16"/>
        <color rgb="FF1F1F1F"/>
        <rFont val="Times New Roman"/>
        <family val="1"/>
      </rPr>
      <t xml:space="preserve"> Provides protection against rate cuts and non-linear gains via convexity.</t>
    </r>
  </si>
  <si>
    <t>~60%</t>
  </si>
  <si>
    <t>~40%</t>
  </si>
  <si>
    <t>*References: TradingView, Refinitiv, LSEG</t>
  </si>
  <si>
    <r>
      <rPr>
        <b/>
        <sz val="16"/>
        <color theme="1"/>
        <rFont val="Times New Roman"/>
        <family val="1"/>
      </rPr>
      <t xml:space="preserve">Conclusion: </t>
    </r>
    <r>
      <rPr>
        <sz val="16"/>
        <color theme="1"/>
        <rFont val="Times New Roman"/>
        <family val="1"/>
      </rPr>
      <t>This portfolio is mathematically optimized for an unsure market. If rates stay stable, the Short Leg generates superior carry (Step 4). If rates become volatile, the Long Leg’s convexity (Step 6 &amp; 7) mitigates losses and accelerates gains, outperforming a standard portfolio.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</si>
</sst>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1" x14ac:knownFonts="1">
    <font>
      <sz val="11"/>
      <color theme="1"/>
      <name val="Aptos Narrow"/>
      <family val="2"/>
      <scheme val="minor"/>
    </font>
    <font>
      <sz val="11"/>
      <color theme="1"/>
      <name val="Aptos Narrow"/>
      <family val="2"/>
      <scheme val="minor"/>
    </font>
    <font>
      <sz val="11"/>
      <color rgb="FF9C5700"/>
      <name val="Aptos Narrow"/>
      <family val="2"/>
      <scheme val="minor"/>
    </font>
    <font>
      <b/>
      <sz val="11"/>
      <color theme="0"/>
      <name val="Aptos Narrow"/>
      <family val="2"/>
      <scheme val="minor"/>
    </font>
    <font>
      <b/>
      <sz val="11"/>
      <color theme="1"/>
      <name val="Aptos Narrow"/>
      <family val="2"/>
      <scheme val="minor"/>
    </font>
    <font>
      <sz val="11"/>
      <color rgb="FF9C5700"/>
      <name val="Calibri"/>
      <family val="2"/>
    </font>
    <font>
      <b/>
      <sz val="11"/>
      <color rgb="FF9C5700"/>
      <name val="Calibri"/>
      <family val="2"/>
    </font>
    <font>
      <sz val="11"/>
      <color theme="1"/>
      <name val="Calibri"/>
      <family val="2"/>
    </font>
    <font>
      <b/>
      <sz val="11"/>
      <color theme="1"/>
      <name val="Calibri"/>
      <family val="2"/>
    </font>
    <font>
      <sz val="12"/>
      <color theme="1"/>
      <name val="Aptos Narrow"/>
      <family val="2"/>
      <scheme val="minor"/>
    </font>
    <font>
      <b/>
      <sz val="12"/>
      <color rgb="FF00B050"/>
      <name val="Aptos Narrow"/>
      <family val="2"/>
      <scheme val="minor"/>
    </font>
    <font>
      <b/>
      <sz val="11"/>
      <color theme="0"/>
      <name val="Calibri"/>
      <family val="2"/>
    </font>
    <font>
      <sz val="11"/>
      <color rgb="FF0070C0"/>
      <name val="Aptos Narrow"/>
      <family val="2"/>
      <scheme val="minor"/>
    </font>
    <font>
      <b/>
      <sz val="16"/>
      <color rgb="FF000000"/>
      <name val="Times New Roman"/>
      <family val="1"/>
    </font>
    <font>
      <b/>
      <sz val="22"/>
      <color rgb="FF000000"/>
      <name val="Times New Roman"/>
      <family val="1"/>
    </font>
    <font>
      <sz val="16"/>
      <color rgb="FF000000"/>
      <name val="Times New Roman"/>
      <family val="1"/>
    </font>
    <font>
      <b/>
      <sz val="24"/>
      <color theme="0"/>
      <name val="Times New Roman"/>
      <family val="1"/>
    </font>
    <font>
      <sz val="16"/>
      <color theme="1"/>
      <name val="Times New Roman"/>
      <family val="1"/>
    </font>
    <font>
      <b/>
      <sz val="16"/>
      <color rgb="FF1F1F1F"/>
      <name val="Times New Roman"/>
      <family val="1"/>
    </font>
    <font>
      <sz val="16"/>
      <color rgb="FF1F1F1F"/>
      <name val="Times New Roman"/>
      <family val="1"/>
    </font>
    <font>
      <b/>
      <sz val="16"/>
      <color theme="1"/>
      <name val="Times New Roman"/>
      <family val="1"/>
    </font>
  </fonts>
  <fills count="8">
    <fill>
      <patternFill patternType="none"/>
    </fill>
    <fill>
      <patternFill patternType="gray125"/>
    </fill>
    <fill>
      <patternFill patternType="solid">
        <fgColor rgb="FFFFEB9C"/>
      </patternFill>
    </fill>
    <fill>
      <patternFill patternType="solid">
        <fgColor theme="7" tint="0.79998168889431442"/>
        <bgColor indexed="64"/>
      </patternFill>
    </fill>
    <fill>
      <patternFill patternType="solid">
        <fgColor theme="2"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002060"/>
        <bgColor indexed="64"/>
      </patternFill>
    </fill>
  </fills>
  <borders count="26">
    <border>
      <left/>
      <right/>
      <top/>
      <bottom/>
      <diagonal/>
    </border>
    <border>
      <left style="thin">
        <color theme="1"/>
      </left>
      <right/>
      <top style="thin">
        <color theme="1"/>
      </top>
      <bottom/>
      <diagonal/>
    </border>
    <border>
      <left/>
      <right/>
      <top style="thin">
        <color theme="1"/>
      </top>
      <bottom/>
      <diagonal/>
    </border>
    <border>
      <left style="thin">
        <color theme="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theme="1"/>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rgb="FF000000"/>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9" fontId="1" fillId="0" borderId="0" applyFont="0" applyFill="0" applyBorder="0" applyAlignment="0" applyProtection="0"/>
    <xf numFmtId="0" fontId="2" fillId="2" borderId="0" applyNumberFormat="0" applyBorder="0" applyAlignment="0" applyProtection="0"/>
    <xf numFmtId="9" fontId="7" fillId="0" borderId="0" applyFont="0" applyFill="0" applyBorder="0" applyAlignment="0" applyProtection="0"/>
    <xf numFmtId="0" fontId="5" fillId="2" borderId="0" applyNumberFormat="0" applyBorder="0" applyAlignment="0" applyProtection="0"/>
  </cellStyleXfs>
  <cellXfs count="103">
    <xf numFmtId="0" fontId="0" fillId="0" borderId="0" xfId="0"/>
    <xf numFmtId="0" fontId="6" fillId="2" borderId="1" xfId="2" applyFont="1" applyBorder="1" applyAlignment="1">
      <alignment horizontal="center"/>
    </xf>
    <xf numFmtId="0" fontId="6" fillId="2" borderId="2" xfId="2" applyFont="1" applyBorder="1" applyAlignment="1">
      <alignment horizontal="center"/>
    </xf>
    <xf numFmtId="0" fontId="0" fillId="3" borderId="4" xfId="0" applyFill="1" applyBorder="1"/>
    <xf numFmtId="14" fontId="0" fillId="3" borderId="4" xfId="0" applyNumberFormat="1" applyFill="1" applyBorder="1"/>
    <xf numFmtId="10" fontId="0" fillId="3" borderId="4" xfId="3" applyNumberFormat="1" applyFont="1" applyFill="1" applyBorder="1"/>
    <xf numFmtId="10" fontId="0" fillId="3" borderId="4" xfId="1" applyNumberFormat="1" applyFont="1" applyFill="1" applyBorder="1"/>
    <xf numFmtId="0" fontId="6" fillId="2" borderId="0" xfId="2" applyFont="1" applyBorder="1" applyAlignment="1">
      <alignment horizontal="center"/>
    </xf>
    <xf numFmtId="0" fontId="9" fillId="0" borderId="0" xfId="0" applyFont="1"/>
    <xf numFmtId="0" fontId="10" fillId="0" borderId="0" xfId="0" applyFont="1"/>
    <xf numFmtId="10" fontId="10" fillId="0" borderId="0" xfId="0" applyNumberFormat="1" applyFont="1"/>
    <xf numFmtId="0" fontId="9" fillId="4" borderId="0" xfId="0" applyFont="1" applyFill="1"/>
    <xf numFmtId="164" fontId="9" fillId="0" borderId="0" xfId="0" applyNumberFormat="1" applyFont="1"/>
    <xf numFmtId="0" fontId="5" fillId="2" borderId="0" xfId="4" applyAlignment="1">
      <alignment horizontal="center"/>
    </xf>
    <xf numFmtId="0" fontId="0" fillId="0" borderId="8" xfId="0" applyBorder="1" applyAlignment="1">
      <alignment horizontal="center"/>
    </xf>
    <xf numFmtId="9" fontId="0" fillId="0" borderId="8" xfId="1" applyFont="1" applyBorder="1" applyAlignment="1">
      <alignment horizontal="center"/>
    </xf>
    <xf numFmtId="0" fontId="0" fillId="0" borderId="8" xfId="1" applyNumberFormat="1" applyFont="1" applyBorder="1" applyAlignment="1">
      <alignment horizontal="center"/>
    </xf>
    <xf numFmtId="0" fontId="3" fillId="0" borderId="4" xfId="0" applyFont="1" applyBorder="1" applyAlignment="1">
      <alignment horizontal="center"/>
    </xf>
    <xf numFmtId="0" fontId="8" fillId="0" borderId="9" xfId="0" applyFont="1" applyBorder="1" applyAlignment="1">
      <alignment horizontal="center" wrapText="1"/>
    </xf>
    <xf numFmtId="0" fontId="11" fillId="0" borderId="9" xfId="0" applyFont="1" applyBorder="1" applyAlignment="1">
      <alignment horizontal="center" wrapText="1"/>
    </xf>
    <xf numFmtId="0" fontId="0" fillId="0" borderId="10" xfId="0" applyBorder="1" applyAlignment="1">
      <alignment horizontal="center"/>
    </xf>
    <xf numFmtId="0" fontId="0" fillId="3" borderId="11" xfId="0" applyFill="1" applyBorder="1"/>
    <xf numFmtId="2" fontId="0" fillId="0" borderId="0" xfId="0" applyNumberFormat="1"/>
    <xf numFmtId="165" fontId="0" fillId="0" borderId="0" xfId="0" applyNumberFormat="1"/>
    <xf numFmtId="10" fontId="0" fillId="5" borderId="0" xfId="0" applyNumberFormat="1" applyFill="1"/>
    <xf numFmtId="0" fontId="0" fillId="5" borderId="0" xfId="0" applyFill="1"/>
    <xf numFmtId="2" fontId="0" fillId="5" borderId="0" xfId="0" applyNumberFormat="1" applyFill="1"/>
    <xf numFmtId="10" fontId="0" fillId="5" borderId="0" xfId="1" applyNumberFormat="1" applyFont="1" applyFill="1"/>
    <xf numFmtId="2" fontId="0" fillId="5" borderId="0" xfId="1" applyNumberFormat="1" applyFont="1" applyFill="1"/>
    <xf numFmtId="0" fontId="0" fillId="3" borderId="12" xfId="0" applyFill="1" applyBorder="1"/>
    <xf numFmtId="0" fontId="0" fillId="3" borderId="13" xfId="0" applyFill="1" applyBorder="1"/>
    <xf numFmtId="14" fontId="0" fillId="3" borderId="13" xfId="0" applyNumberFormat="1" applyFill="1" applyBorder="1"/>
    <xf numFmtId="10" fontId="0" fillId="3" borderId="13" xfId="3" applyNumberFormat="1" applyFont="1" applyFill="1" applyBorder="1"/>
    <xf numFmtId="10" fontId="0" fillId="0" borderId="0" xfId="1" applyNumberFormat="1" applyFont="1"/>
    <xf numFmtId="9" fontId="0" fillId="0" borderId="0" xfId="1" applyFont="1"/>
    <xf numFmtId="14" fontId="0" fillId="0" borderId="0" xfId="0" applyNumberFormat="1"/>
    <xf numFmtId="164" fontId="0" fillId="5" borderId="0" xfId="1" applyNumberFormat="1" applyFont="1" applyFill="1"/>
    <xf numFmtId="9" fontId="0" fillId="5" borderId="0" xfId="1" applyFont="1" applyFill="1"/>
    <xf numFmtId="0" fontId="12" fillId="3" borderId="3" xfId="0" applyFont="1" applyFill="1" applyBorder="1"/>
    <xf numFmtId="0" fontId="12" fillId="3" borderId="4" xfId="0" applyFont="1" applyFill="1" applyBorder="1"/>
    <xf numFmtId="14" fontId="12" fillId="3" borderId="4" xfId="0" applyNumberFormat="1" applyFont="1" applyFill="1" applyBorder="1"/>
    <xf numFmtId="10" fontId="12" fillId="3" borderId="4" xfId="3" applyNumberFormat="1" applyFont="1" applyFill="1" applyBorder="1"/>
    <xf numFmtId="0" fontId="0" fillId="0" borderId="4" xfId="0" applyBorder="1"/>
    <xf numFmtId="14" fontId="0" fillId="0" borderId="4" xfId="0" applyNumberFormat="1" applyBorder="1"/>
    <xf numFmtId="2" fontId="0" fillId="0" borderId="4" xfId="0" applyNumberFormat="1" applyBorder="1"/>
    <xf numFmtId="10" fontId="0" fillId="0" borderId="4" xfId="1" applyNumberFormat="1" applyFont="1" applyBorder="1"/>
    <xf numFmtId="10" fontId="12" fillId="3" borderId="4" xfId="1" applyNumberFormat="1" applyFont="1" applyFill="1" applyBorder="1"/>
    <xf numFmtId="10" fontId="0" fillId="0" borderId="0" xfId="1" applyNumberFormat="1" applyFont="1" applyFill="1" applyBorder="1"/>
    <xf numFmtId="0" fontId="0" fillId="6" borderId="4" xfId="0" applyFill="1" applyBorder="1"/>
    <xf numFmtId="10" fontId="0" fillId="6" borderId="4" xfId="1" applyNumberFormat="1" applyFont="1" applyFill="1" applyBorder="1"/>
    <xf numFmtId="0" fontId="0" fillId="0" borderId="4" xfId="1" applyNumberFormat="1" applyFont="1" applyBorder="1"/>
    <xf numFmtId="10" fontId="0" fillId="0" borderId="4" xfId="0" applyNumberFormat="1" applyBorder="1"/>
    <xf numFmtId="0" fontId="6" fillId="2" borderId="14" xfId="2" applyFont="1" applyBorder="1" applyAlignment="1">
      <alignment horizontal="center"/>
    </xf>
    <xf numFmtId="0" fontId="6" fillId="2" borderId="15" xfId="2" applyFont="1" applyBorder="1" applyAlignment="1">
      <alignment horizontal="center"/>
    </xf>
    <xf numFmtId="0" fontId="4" fillId="0" borderId="0" xfId="0" applyFont="1"/>
    <xf numFmtId="0" fontId="3" fillId="7" borderId="4" xfId="0" applyFont="1" applyFill="1" applyBorder="1" applyAlignment="1">
      <alignment horizontal="center" vertical="top"/>
    </xf>
    <xf numFmtId="0" fontId="3" fillId="7" borderId="4" xfId="0" applyFont="1" applyFill="1" applyBorder="1" applyAlignment="1">
      <alignment horizontal="center" vertical="top" wrapText="1"/>
    </xf>
    <xf numFmtId="0" fontId="18" fillId="0" borderId="16" xfId="0" applyFont="1" applyBorder="1" applyAlignment="1">
      <alignment horizontal="left" vertical="center" wrapText="1" indent="1" readingOrder="1"/>
    </xf>
    <xf numFmtId="0" fontId="19" fillId="0" borderId="16" xfId="0" applyFont="1" applyBorder="1" applyAlignment="1">
      <alignment horizontal="left" vertical="center" wrapText="1" indent="1" readingOrder="1"/>
    </xf>
    <xf numFmtId="0" fontId="14" fillId="0" borderId="20" xfId="0" applyFont="1" applyBorder="1" applyAlignment="1">
      <alignment horizontal="center" wrapText="1"/>
    </xf>
    <xf numFmtId="0" fontId="14" fillId="0" borderId="0" xfId="0" applyFont="1" applyAlignment="1">
      <alignment horizontal="center" wrapText="1"/>
    </xf>
    <xf numFmtId="0" fontId="14" fillId="0" borderId="21" xfId="0" applyFont="1" applyBorder="1" applyAlignment="1">
      <alignment horizontal="center" wrapText="1"/>
    </xf>
    <xf numFmtId="0" fontId="0" fillId="0" borderId="20" xfId="0" applyBorder="1"/>
    <xf numFmtId="0" fontId="0" fillId="0" borderId="21" xfId="0" applyBorder="1"/>
    <xf numFmtId="0" fontId="15" fillId="0" borderId="20" xfId="0" applyFont="1" applyBorder="1" applyAlignment="1">
      <alignment wrapText="1"/>
    </xf>
    <xf numFmtId="0" fontId="15" fillId="0" borderId="0" xfId="0" applyFont="1" applyAlignment="1">
      <alignment wrapText="1"/>
    </xf>
    <xf numFmtId="0" fontId="15" fillId="0" borderId="21" xfId="0" applyFont="1" applyBorder="1" applyAlignment="1">
      <alignment wrapText="1"/>
    </xf>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15" fillId="0" borderId="21" xfId="0" applyFont="1" applyBorder="1" applyAlignment="1">
      <alignment horizontal="left" vertical="top" wrapText="1"/>
    </xf>
    <xf numFmtId="0" fontId="0" fillId="0" borderId="20" xfId="0" applyBorder="1" applyAlignment="1">
      <alignment wrapText="1"/>
    </xf>
    <xf numFmtId="0" fontId="0" fillId="0" borderId="0" xfId="0" applyAlignment="1">
      <alignment wrapText="1"/>
    </xf>
    <xf numFmtId="0" fontId="0" fillId="0" borderId="21" xfId="0" applyBorder="1" applyAlignment="1">
      <alignment wrapText="1"/>
    </xf>
    <xf numFmtId="0" fontId="18" fillId="0" borderId="22" xfId="0" applyFont="1" applyBorder="1" applyAlignment="1">
      <alignment horizontal="left" vertical="center" wrapText="1" indent="1" readingOrder="1"/>
    </xf>
    <xf numFmtId="0" fontId="17" fillId="0" borderId="0" xfId="0" applyFont="1"/>
    <xf numFmtId="0" fontId="17" fillId="0" borderId="21" xfId="0" applyFont="1" applyBorder="1"/>
    <xf numFmtId="0" fontId="14" fillId="0" borderId="20" xfId="0" applyFont="1" applyBorder="1" applyAlignment="1">
      <alignment horizontal="left" wrapText="1"/>
    </xf>
    <xf numFmtId="0" fontId="14" fillId="0" borderId="0" xfId="0" applyFont="1" applyAlignment="1">
      <alignment horizontal="left" wrapText="1"/>
    </xf>
    <xf numFmtId="0" fontId="14" fillId="0" borderId="21" xfId="0" applyFont="1" applyBorder="1" applyAlignment="1">
      <alignment horizontal="left" wrapText="1"/>
    </xf>
    <xf numFmtId="0" fontId="17" fillId="0" borderId="20" xfId="0" applyFont="1" applyBorder="1" applyAlignment="1">
      <alignment horizontal="left" vertical="top" wrapText="1"/>
    </xf>
    <xf numFmtId="0" fontId="17" fillId="0" borderId="0" xfId="0" applyFont="1" applyAlignment="1">
      <alignment horizontal="left" vertical="top" wrapText="1"/>
    </xf>
    <xf numFmtId="0" fontId="17" fillId="0" borderId="21" xfId="0" applyFont="1" applyBorder="1" applyAlignment="1">
      <alignment horizontal="left" vertical="top" wrapText="1"/>
    </xf>
    <xf numFmtId="0" fontId="16" fillId="7" borderId="17" xfId="0" applyFont="1" applyFill="1" applyBorder="1" applyAlignment="1">
      <alignment horizontal="center" wrapText="1"/>
    </xf>
    <xf numFmtId="0" fontId="16" fillId="7" borderId="18" xfId="0" applyFont="1" applyFill="1" applyBorder="1" applyAlignment="1">
      <alignment horizontal="center" wrapText="1"/>
    </xf>
    <xf numFmtId="0" fontId="16" fillId="7" borderId="19" xfId="0" applyFont="1" applyFill="1" applyBorder="1" applyAlignment="1">
      <alignment horizontal="center" wrapText="1"/>
    </xf>
    <xf numFmtId="0" fontId="17" fillId="0" borderId="23" xfId="0" applyFont="1" applyBorder="1" applyAlignment="1">
      <alignment horizontal="left" vertical="top" wrapText="1"/>
    </xf>
    <xf numFmtId="0" fontId="17" fillId="0" borderId="24" xfId="0" applyFont="1" applyBorder="1" applyAlignment="1">
      <alignment horizontal="left" vertical="top" wrapText="1"/>
    </xf>
    <xf numFmtId="0" fontId="17" fillId="0" borderId="25" xfId="0" applyFont="1" applyBorder="1" applyAlignment="1">
      <alignment horizontal="left" vertical="top" wrapText="1"/>
    </xf>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15" fillId="0" borderId="21" xfId="0" applyFont="1" applyBorder="1" applyAlignment="1">
      <alignment horizontal="left" vertical="top" wrapText="1"/>
    </xf>
    <xf numFmtId="0" fontId="15" fillId="0" borderId="20" xfId="0" applyFont="1" applyBorder="1" applyAlignment="1">
      <alignment horizontal="left" wrapText="1"/>
    </xf>
    <xf numFmtId="0" fontId="15" fillId="0" borderId="0" xfId="0" applyFont="1" applyAlignment="1">
      <alignment horizontal="left" wrapText="1"/>
    </xf>
    <xf numFmtId="0" fontId="15" fillId="0" borderId="21" xfId="0" applyFont="1" applyBorder="1" applyAlignment="1">
      <alignment horizontal="left" wrapText="1"/>
    </xf>
    <xf numFmtId="0" fontId="15" fillId="0" borderId="20" xfId="0" applyFont="1" applyBorder="1" applyAlignment="1">
      <alignment vertical="top" wrapText="1"/>
    </xf>
    <xf numFmtId="0" fontId="15" fillId="0" borderId="0" xfId="0" applyFont="1" applyAlignment="1">
      <alignment vertical="top" wrapText="1"/>
    </xf>
    <xf numFmtId="0" fontId="15" fillId="0" borderId="21" xfId="0" applyFont="1" applyBorder="1" applyAlignment="1">
      <alignment vertical="top" wrapText="1"/>
    </xf>
    <xf numFmtId="0" fontId="8" fillId="3" borderId="5" xfId="0" applyFont="1" applyFill="1" applyBorder="1" applyAlignment="1">
      <alignment horizontal="center"/>
    </xf>
    <xf numFmtId="0" fontId="8" fillId="3" borderId="6" xfId="0" applyFont="1" applyFill="1" applyBorder="1" applyAlignment="1">
      <alignment horizontal="center"/>
    </xf>
    <xf numFmtId="0" fontId="8" fillId="3" borderId="7" xfId="0" applyFont="1" applyFill="1" applyBorder="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8" fillId="4" borderId="7" xfId="0" applyFont="1" applyFill="1" applyBorder="1" applyAlignment="1">
      <alignment horizontal="center"/>
    </xf>
  </cellXfs>
  <cellStyles count="5">
    <cellStyle name="Neutral" xfId="2" builtinId="28"/>
    <cellStyle name="Neutral 2" xfId="4" xr:uid="{DF676C74-71D9-40FF-ADDA-BFAAFC3983DF}"/>
    <cellStyle name="Normal" xfId="0" builtinId="0"/>
    <cellStyle name="Per cent 2" xfId="3" xr:uid="{8FA01466-7EE4-47FF-A37C-4D4C388DB504}"/>
    <cellStyle name="Percent" xfId="1" builtinId="5"/>
  </cellStyles>
  <dxfs count="20">
    <dxf>
      <font>
        <b val="0"/>
        <i val="0"/>
        <strike val="0"/>
        <condense val="0"/>
        <extend val="0"/>
        <outline val="0"/>
        <shadow val="0"/>
        <u val="none"/>
        <vertAlign val="baseline"/>
        <sz val="11"/>
        <color theme="1"/>
        <name val="Aptos Narrow"/>
        <family val="2"/>
        <scheme val="minor"/>
      </font>
      <numFmt numFmtId="0" formatCode="General"/>
      <fill>
        <patternFill>
          <fgColor indexed="64"/>
          <bgColor rgb="FFFFFF00"/>
        </patternFill>
      </fill>
    </dxf>
    <dxf>
      <font>
        <b val="0"/>
        <i val="0"/>
        <strike val="0"/>
        <condense val="0"/>
        <extend val="0"/>
        <outline val="0"/>
        <shadow val="0"/>
        <u val="none"/>
        <vertAlign val="baseline"/>
        <sz val="11"/>
        <color theme="1"/>
        <name val="Aptos Narrow"/>
        <family val="2"/>
        <scheme val="minor"/>
      </font>
      <numFmt numFmtId="0" formatCode="General"/>
      <fill>
        <patternFill patternType="solid">
          <fgColor indexed="64"/>
          <bgColor rgb="FFFFFF00"/>
        </patternFill>
      </fill>
    </dxf>
    <dxf>
      <font>
        <b val="0"/>
        <i val="0"/>
        <strike val="0"/>
        <condense val="0"/>
        <extend val="0"/>
        <outline val="0"/>
        <shadow val="0"/>
        <u val="none"/>
        <vertAlign val="baseline"/>
        <sz val="11"/>
        <color theme="1"/>
        <name val="Aptos Narrow"/>
        <family val="2"/>
        <scheme val="minor"/>
      </font>
      <numFmt numFmtId="0" formatCode="General"/>
      <fill>
        <patternFill patternType="solid">
          <fgColor indexed="64"/>
          <bgColor rgb="FFFFFF00"/>
        </patternFill>
      </fill>
    </dxf>
    <dxf>
      <font>
        <b val="0"/>
        <i val="0"/>
        <strike val="0"/>
        <condense val="0"/>
        <extend val="0"/>
        <outline val="0"/>
        <shadow val="0"/>
        <u val="none"/>
        <vertAlign val="baseline"/>
        <sz val="11"/>
        <color theme="1"/>
        <name val="Aptos Narrow"/>
        <family val="2"/>
        <scheme val="minor"/>
      </font>
      <numFmt numFmtId="14" formatCode="0.00%"/>
      <fill>
        <patternFill patternType="solid">
          <fgColor indexed="64"/>
          <bgColor rgb="FFFFFF00"/>
        </patternFill>
      </fill>
    </dxf>
    <dxf>
      <font>
        <b val="0"/>
        <i val="0"/>
        <strike val="0"/>
        <condense val="0"/>
        <extend val="0"/>
        <outline val="0"/>
        <shadow val="0"/>
        <u val="none"/>
        <vertAlign val="baseline"/>
        <sz val="11"/>
        <color theme="1"/>
        <name val="Aptos Narrow"/>
        <family val="2"/>
        <scheme val="minor"/>
      </font>
      <numFmt numFmtId="0" formatCode="General"/>
      <fill>
        <patternFill>
          <fgColor indexed="64"/>
          <bgColor rgb="FFFFFF00"/>
        </patternFill>
      </fill>
    </dxf>
    <dxf>
      <font>
        <b val="0"/>
        <i val="0"/>
        <strike val="0"/>
        <condense val="0"/>
        <extend val="0"/>
        <outline val="0"/>
        <shadow val="0"/>
        <u val="none"/>
        <vertAlign val="baseline"/>
        <sz val="11"/>
        <color theme="1"/>
        <name val="Aptos Narrow"/>
        <family val="2"/>
        <scheme val="minor"/>
      </font>
      <numFmt numFmtId="14" formatCode="0.00%"/>
      <fill>
        <patternFill>
          <fgColor indexed="64"/>
          <bgColor rgb="FFFFFF00"/>
        </patternFill>
      </fill>
    </dxf>
    <dxf>
      <numFmt numFmtId="2" formatCode="0.00"/>
      <fill>
        <patternFill patternType="none">
          <fgColor indexed="64"/>
          <bgColor rgb="FFFFFF00"/>
        </patternFill>
      </fill>
    </dxf>
    <dxf>
      <numFmt numFmtId="2" formatCode="0.00"/>
      <fill>
        <patternFill patternType="none">
          <fgColor indexed="64"/>
          <bgColor rgb="FFFFFF00"/>
        </patternFill>
      </fill>
    </dxf>
    <dxf>
      <numFmt numFmtId="0" formatCode="General"/>
      <fill>
        <patternFill>
          <fgColor indexed="64"/>
          <bgColor rgb="FFFFFF00"/>
        </patternFill>
      </fill>
    </dxf>
    <dxf>
      <numFmt numFmtId="14" formatCode="0.00%"/>
      <fill>
        <patternFill patternType="solid">
          <fgColor indexed="64"/>
          <bgColor rgb="FFFFFF00"/>
        </patternFill>
      </fill>
    </dxf>
    <dxf>
      <numFmt numFmtId="165" formatCode="0.0%"/>
      <fill>
        <patternFill patternType="none">
          <fgColor indexed="64"/>
          <bgColor indexed="65"/>
        </patternFill>
      </fill>
    </dxf>
    <dxf>
      <numFmt numFmtId="0" formatCode="General"/>
    </dxf>
    <dxf>
      <numFmt numFmtId="0" formatCode="General"/>
    </dxf>
    <dxf>
      <numFmt numFmtId="2" formatCode="0.00"/>
    </dxf>
    <dxf>
      <numFmt numFmtId="0" formatCode="General"/>
    </dxf>
    <dxf>
      <font>
        <b val="0"/>
        <i val="0"/>
        <strike val="0"/>
        <condense val="0"/>
        <extend val="0"/>
        <outline val="0"/>
        <shadow val="0"/>
        <u val="none"/>
        <vertAlign val="baseline"/>
        <sz val="11"/>
        <color theme="1"/>
        <name val="Aptos Narrow"/>
        <family val="2"/>
        <scheme val="minor"/>
      </font>
      <numFmt numFmtId="14" formatCode="0.00%"/>
    </dxf>
    <dxf>
      <font>
        <b val="0"/>
        <i val="0"/>
        <strike val="0"/>
        <condense val="0"/>
        <extend val="0"/>
        <outline val="0"/>
        <shadow val="0"/>
        <u val="none"/>
        <vertAlign val="baseline"/>
        <sz val="11"/>
        <color theme="1"/>
        <name val="Aptos Narrow"/>
        <family val="2"/>
        <scheme val="minor"/>
      </font>
      <numFmt numFmtId="14" formatCode="0.00%"/>
    </dxf>
    <dxf>
      <numFmt numFmtId="166" formatCode="dd/mm/yy"/>
    </dxf>
    <dxf>
      <numFmt numFmtId="166" formatCode="dd/mm/yy"/>
    </dxf>
    <dxf>
      <numFmt numFmtId="166" formatCode="dd/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647700</xdr:colOff>
      <xdr:row>63</xdr:row>
      <xdr:rowOff>1247775</xdr:rowOff>
    </xdr:from>
    <xdr:to>
      <xdr:col>4</xdr:col>
      <xdr:colOff>1934354</xdr:colOff>
      <xdr:row>64</xdr:row>
      <xdr:rowOff>1066962</xdr:rowOff>
    </xdr:to>
    <xdr:pic>
      <xdr:nvPicPr>
        <xdr:cNvPr id="2" name="Picture 1">
          <a:extLst>
            <a:ext uri="{FF2B5EF4-FFF2-40B4-BE49-F238E27FC236}">
              <a16:creationId xmlns:a16="http://schemas.microsoft.com/office/drawing/2014/main" id="{4E4CF4F9-A45B-1810-94D7-EF425EC4E577}"/>
            </a:ext>
          </a:extLst>
        </xdr:cNvPr>
        <xdr:cNvPicPr>
          <a:picLocks noChangeAspect="1"/>
        </xdr:cNvPicPr>
      </xdr:nvPicPr>
      <xdr:blipFill>
        <a:blip xmlns:r="http://schemas.openxmlformats.org/officeDocument/2006/relationships" r:embed="rId1"/>
        <a:stretch>
          <a:fillRect/>
        </a:stretch>
      </xdr:blipFill>
      <xdr:spPr>
        <a:xfrm>
          <a:off x="914400" y="17811750"/>
          <a:ext cx="5582429" cy="1162212"/>
        </a:xfrm>
        <a:prstGeom prst="rect">
          <a:avLst/>
        </a:prstGeom>
      </xdr:spPr>
    </xdr:pic>
    <xdr:clientData/>
  </xdr:twoCellAnchor>
  <xdr:twoCellAnchor editAs="oneCell">
    <xdr:from>
      <xdr:col>10</xdr:col>
      <xdr:colOff>0</xdr:colOff>
      <xdr:row>2</xdr:row>
      <xdr:rowOff>76200</xdr:rowOff>
    </xdr:from>
    <xdr:to>
      <xdr:col>15</xdr:col>
      <xdr:colOff>38637</xdr:colOff>
      <xdr:row>11</xdr:row>
      <xdr:rowOff>28848</xdr:rowOff>
    </xdr:to>
    <xdr:pic>
      <xdr:nvPicPr>
        <xdr:cNvPr id="3" name="Picture 2">
          <a:extLst>
            <a:ext uri="{FF2B5EF4-FFF2-40B4-BE49-F238E27FC236}">
              <a16:creationId xmlns:a16="http://schemas.microsoft.com/office/drawing/2014/main" id="{85A0B422-4A35-4779-444A-79A9EBB9039B}"/>
            </a:ext>
          </a:extLst>
        </xdr:cNvPr>
        <xdr:cNvPicPr>
          <a:picLocks noChangeAspect="1"/>
        </xdr:cNvPicPr>
      </xdr:nvPicPr>
      <xdr:blipFill>
        <a:blip xmlns:r="http://schemas.openxmlformats.org/officeDocument/2006/relationships" r:embed="rId2"/>
        <a:stretch>
          <a:fillRect/>
        </a:stretch>
      </xdr:blipFill>
      <xdr:spPr>
        <a:xfrm>
          <a:off x="11534775" y="657225"/>
          <a:ext cx="3848637" cy="1952898"/>
        </a:xfrm>
        <a:prstGeom prst="rect">
          <a:avLst/>
        </a:prstGeom>
      </xdr:spPr>
    </xdr:pic>
    <xdr:clientData/>
  </xdr:twoCellAnchor>
  <xdr:twoCellAnchor editAs="oneCell">
    <xdr:from>
      <xdr:col>10</xdr:col>
      <xdr:colOff>0</xdr:colOff>
      <xdr:row>12</xdr:row>
      <xdr:rowOff>0</xdr:rowOff>
    </xdr:from>
    <xdr:to>
      <xdr:col>16</xdr:col>
      <xdr:colOff>534113</xdr:colOff>
      <xdr:row>22</xdr:row>
      <xdr:rowOff>133657</xdr:rowOff>
    </xdr:to>
    <xdr:pic>
      <xdr:nvPicPr>
        <xdr:cNvPr id="4" name="Picture 3">
          <a:extLst>
            <a:ext uri="{FF2B5EF4-FFF2-40B4-BE49-F238E27FC236}">
              <a16:creationId xmlns:a16="http://schemas.microsoft.com/office/drawing/2014/main" id="{0341A999-B636-1964-3F4E-F29A4E8399AC}"/>
            </a:ext>
          </a:extLst>
        </xdr:cNvPr>
        <xdr:cNvPicPr>
          <a:picLocks noChangeAspect="1"/>
        </xdr:cNvPicPr>
      </xdr:nvPicPr>
      <xdr:blipFill>
        <a:blip xmlns:r="http://schemas.openxmlformats.org/officeDocument/2006/relationships" r:embed="rId3"/>
        <a:stretch>
          <a:fillRect/>
        </a:stretch>
      </xdr:blipFill>
      <xdr:spPr>
        <a:xfrm>
          <a:off x="11534775" y="2771775"/>
          <a:ext cx="5106113" cy="2200582"/>
        </a:xfrm>
        <a:prstGeom prst="rect">
          <a:avLst/>
        </a:prstGeom>
      </xdr:spPr>
    </xdr:pic>
    <xdr:clientData/>
  </xdr:twoCellAnchor>
  <xdr:twoCellAnchor editAs="oneCell">
    <xdr:from>
      <xdr:col>10</xdr:col>
      <xdr:colOff>9525</xdr:colOff>
      <xdr:row>23</xdr:row>
      <xdr:rowOff>114300</xdr:rowOff>
    </xdr:from>
    <xdr:to>
      <xdr:col>13</xdr:col>
      <xdr:colOff>143213</xdr:colOff>
      <xdr:row>27</xdr:row>
      <xdr:rowOff>123933</xdr:rowOff>
    </xdr:to>
    <xdr:pic>
      <xdr:nvPicPr>
        <xdr:cNvPr id="5" name="Picture 4">
          <a:extLst>
            <a:ext uri="{FF2B5EF4-FFF2-40B4-BE49-F238E27FC236}">
              <a16:creationId xmlns:a16="http://schemas.microsoft.com/office/drawing/2014/main" id="{FA3E8713-582E-E029-2587-89B2D3B84EEA}"/>
            </a:ext>
          </a:extLst>
        </xdr:cNvPr>
        <xdr:cNvPicPr>
          <a:picLocks noChangeAspect="1"/>
        </xdr:cNvPicPr>
      </xdr:nvPicPr>
      <xdr:blipFill>
        <a:blip xmlns:r="http://schemas.openxmlformats.org/officeDocument/2006/relationships" r:embed="rId4"/>
        <a:stretch>
          <a:fillRect/>
        </a:stretch>
      </xdr:blipFill>
      <xdr:spPr>
        <a:xfrm>
          <a:off x="11544300" y="5143500"/>
          <a:ext cx="2419688" cy="7716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kachra\Downloads\Fixed%20Income%20Securities%20Spreadsheet%20PGPM%20Version%203.xlsx" TargetMode="External"/><Relationship Id="rId1" Type="http://schemas.openxmlformats.org/officeDocument/2006/relationships/externalLinkPath" Target="Fixed%20Income%20Securities%20Spreadsheet%20PGPM%20Version%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a"/>
      <sheetName val="Steps in Analyzing a Bond"/>
      <sheetName val="Base Data"/>
      <sheetName val="Data 2"/>
      <sheetName val="Bond Pricing"/>
      <sheetName val="Bond Pricing from Base Data"/>
      <sheetName val="Duration"/>
      <sheetName val="Duration Template"/>
      <sheetName val="Convexity Template"/>
      <sheetName val="Important Insights"/>
      <sheetName val="Cluster Details"/>
      <sheetName val="Bond Portfolio Template"/>
      <sheetName val="Convertible Bond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63D549-CAE9-4933-8ED1-BFF71FCFCFF4}" name="Table1" displayName="Table1" ref="A3:AF772" totalsRowShown="0">
  <autoFilter ref="A3:AF772" xr:uid="{8263D549-CAE9-4933-8ED1-BFF71FCFCFF4}"/>
  <sortState xmlns:xlrd2="http://schemas.microsoft.com/office/spreadsheetml/2017/richdata2" ref="A4:AF15">
    <sortCondition descending="1" ref="W3:W772"/>
  </sortState>
  <tableColumns count="32">
    <tableColumn id="1" xr3:uid="{4E06309F-48D4-4908-ABD0-D31ACE96C181}" name="Symbol"/>
    <tableColumn id="2" xr3:uid="{926C0A6E-4879-4C81-893B-7C0CD6E3F6A2}" name="Issuer Name"/>
    <tableColumn id="31" xr3:uid="{1A489289-0AC0-4434-92BA-C33590B288E9}" name="BOND TYPE"/>
    <tableColumn id="14" xr3:uid="{6F3EF300-4DA7-485A-A081-022AE02C5E9E}" name="Issue date" dataDxfId="19"/>
    <tableColumn id="15" xr3:uid="{1C1194F5-6A38-472D-B890-1A05EF941657}" name="Maturity date" dataDxfId="18"/>
    <tableColumn id="8" xr3:uid="{373391D0-4164-4A65-B114-1D41780F2142}" name="Face value" dataDxfId="17"/>
    <tableColumn id="32" xr3:uid="{25DB2CE4-6CB0-4DE8-AB8D-6E5DAB2C8D33}" name="Face value - Currency"/>
    <tableColumn id="6" xr3:uid="{477294E3-357F-422A-BD6A-30B9A5EC47FB}" name="Ask Price"/>
    <tableColumn id="7" xr3:uid="{A9AD0323-1DCE-444D-9664-E287D47A6873}" name="Price - Currency"/>
    <tableColumn id="33" xr3:uid="{C4B40699-66F9-4CE8-B35C-7E67DC9FBD74}" name="Price % of face value"/>
    <tableColumn id="10" xr3:uid="{9EF38425-526A-46D9-9312-154CD0D42C2A}" name="Volume 1 day"/>
    <tableColumn id="13" xr3:uid="{66FF8A2C-106E-4B08-B3F4-BAF0002E6413}" name="Current coupon %" dataDxfId="16"/>
    <tableColumn id="19" xr3:uid="{710AD11F-7D2A-4E36-ABD1-26BFD0B13BF5}" name="Coupon frequency" dataDxfId="15"/>
    <tableColumn id="34" xr3:uid="{D5DC134F-8B18-47B6-B91A-4353684E7695}" name="Term to maturity"/>
    <tableColumn id="35" xr3:uid="{4B922595-844A-4089-AD78-2CF025B68DF1}" name="Current yield % (Coupon/Current Ask Price)">
      <calculatedColumnFormula>Table1[[#This Row],[Current coupon %]]*Table1[[#This Row],[Face value]]/Table1[[#This Row],[Ask Price]]</calculatedColumnFormula>
    </tableColumn>
    <tableColumn id="36" xr3:uid="{38439CCC-EA76-4980-85D0-05148EF4D916}" name="S&amp;P rating"/>
    <tableColumn id="38" xr3:uid="{233E5A39-F913-4DBA-9051-C660C95AABEB}" name="Exchange"/>
    <tableColumn id="16" xr3:uid="{5091D9E5-DEA4-4F4B-BFDC-59033528626A}" name="Term to Maturity (Years)" dataDxfId="14">
      <calculatedColumnFormula>ROUND(YEARFRAC(D4,E4),0)</calculatedColumnFormula>
    </tableColumn>
    <tableColumn id="18" xr3:uid="{DB9ECB97-DBB0-44F4-BD38-0BEE2672B5F4}" name="Coupon Frequency2" dataDxfId="13">
      <calculatedColumnFormula array="1">_xlfn.IFS(Table1[[#This Row],[Coupon frequency]]="Semi-annual",2,Table1[[#This Row],[Coupon frequency]]="Quarterly",4,Table1[[#This Row],[Coupon frequency]]="Annual",1,Table1[[#This Row],[Coupon frequency]]="Every 4 months",3,Table1[[#This Row],[Coupon frequency]]="Monthly",12)</calculatedColumnFormula>
    </tableColumn>
    <tableColumn id="21" xr3:uid="{1092DA9E-CE80-45C3-AA34-0260065A38C2}" name="Total No. of Coupons" dataDxfId="12">
      <calculatedColumnFormula>Table1[[#This Row],[Term to Maturity (Years)]]*Table1[[#This Row],[Coupon Frequency2]]</calculatedColumnFormula>
    </tableColumn>
    <tableColumn id="22" xr3:uid="{0E379646-B842-4A92-98F1-8B216293BCB2}" name="Coupon Amount" dataDxfId="11">
      <calculatedColumnFormula>Table1[[#This Row],[Face value]]*Table1[[#This Row],[Current coupon %]]/Table1[[#This Row],[Coupon Frequency2]]</calculatedColumnFormula>
    </tableColumn>
    <tableColumn id="3" xr3:uid="{E1C2BE39-AC97-4E7D-A577-3668B59382DE}" name="IRR" dataDxfId="10">
      <calculatedColumnFormula>RATE(Table1[[#This Row],[Total No. of Coupons]],Table1[[#This Row],[Coupon Amount]],-Table1[[#This Row],[Ask Price]],Table1[[#This Row],[Face value]])</calculatedColumnFormula>
    </tableColumn>
    <tableColumn id="4" xr3:uid="{B4960DF3-B993-4014-8510-36E46F8D0CF7}" name="Yield (Annualised)" dataDxfId="9">
      <calculatedColumnFormula>Table1[[#This Row],[IRR]]*Table1[[#This Row],[Coupon Frequency2]]</calculatedColumnFormula>
    </tableColumn>
    <tableColumn id="5" xr3:uid="{C816CFD9-A0D3-4DF6-8EC3-722731111541}" name="Yield Cluster" dataDxfId="8">
      <calculatedColumnFormula array="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calculatedColumnFormula>
    </tableColumn>
    <tableColumn id="25" xr3:uid="{0C99FDAA-D31A-4AC1-A75C-3199674158C2}" name="Macaulay Duration in Years" dataDxfId="7">
      <calculatedColumnFormula>DURATION(Table1[[#This Row],[Issue date]],Table1[[#This Row],[Maturity date]],Table1[[#This Row],[Current coupon %]],Table1[[#This Row],[Yield (Annualised)]],Table1[[#This Row],[Coupon Frequency2]])</calculatedColumnFormula>
    </tableColumn>
    <tableColumn id="26" xr3:uid="{B4BBE22B-2711-4018-B2B8-B1CB20BCF2E8}" name="Modified Duration in Years" dataDxfId="6">
      <calculatedColumnFormula>Table1[[#This Row],[Macaulay Duration in Years]]/(1+Table1[[#This Row],[IRR]])</calculatedColumnFormula>
    </tableColumn>
    <tableColumn id="9" xr3:uid="{73824C81-E145-43D8-94C1-89CB8B9F3AB9}" name="Average Cluster Yield" dataDxfId="5">
      <calculatedColumnFormula>VLOOKUP(Table1[[#This Row],[Yield Cluster]],'[1]Cluster Details'!$B$3:$C$16,2,0)</calculatedColumnFormula>
    </tableColumn>
    <tableColumn id="11" xr3:uid="{BA03438A-20D4-431B-AAC0-642841B13D5F}" name="Calculated Bond Price" dataDxfId="4">
      <calculatedColumnFormula>PRICE(Table1[[#This Row],[Issue date]],Table1[[#This Row],[Maturity date]],Table1[[#This Row],[Current coupon %]],Table1[[#This Row],[Average Cluster Yield]],100,Table1[[#This Row],[Coupon Frequency2]])*Table1[[#This Row],[Face value]]/100</calculatedColumnFormula>
    </tableColumn>
    <tableColumn id="39" xr3:uid="{063CD994-97E2-4F33-8C96-99799DE2871B}" name="Rich/Cheap" dataDxfId="3">
      <calculatedColumnFormula>IF(Table1[[#This Row],[Ask Price]]&gt;Table1[[#This Row],[Calculated Bond Price]],"Rich","Cheap")</calculatedColumnFormula>
    </tableColumn>
    <tableColumn id="40" xr3:uid="{933C8F06-1AD9-49A7-B1B4-2B59B6A434F2}" name="P (+ shock)" dataDxfId="2">
      <calculatedColumnFormula>PRICE(Table1[[#This Row],[Issue date]],Table1[[#This Row],[Maturity date]],Table1[[#This Row],[Current coupon %]],Table1[[#This Row],[Yield (Annualised)]]+$AE$2,100,Table1[[#This Row],[Coupon Frequency2]])*Table1[[#This Row],[Face value]]/100</calculatedColumnFormula>
    </tableColumn>
    <tableColumn id="41" xr3:uid="{7CD78011-2E36-474E-A32C-27BF849BB09F}" name="P (-shock)" dataDxfId="1">
      <calculatedColumnFormula>PRICE(Table1[[#This Row],[Issue date]],Table1[[#This Row],[Maturity date]],Table1[[#This Row],[Current coupon %]],Table1[[#This Row],[Yield (Annualised)]]-$AE$2,100,Table1[[#This Row],[Coupon Frequency2]])*Table1[[#This Row],[Face value]]/100</calculatedColumnFormula>
    </tableColumn>
    <tableColumn id="42" xr3:uid="{AD85C95F-96C4-4E0A-81F9-25B43EBE6A2E}" name="Convexity Estimation" dataDxfId="0">
      <calculatedColumnFormula>(Table1[[#This Row],[P (+ shock)]]+Table1[[#This Row],[P (-shock)]]-2*Table1[[#This Row],[Ask Price]])/(2*Table1[[#This Row],[Ask Price]]*($AE$2^2))</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4573-035D-4046-9134-A35C5701BDF2}">
  <dimension ref="B1:H81"/>
  <sheetViews>
    <sheetView showGridLines="0" tabSelected="1" zoomScaleNormal="100" workbookViewId="0">
      <selection activeCell="K72" sqref="K72"/>
    </sheetView>
  </sheetViews>
  <sheetFormatPr defaultColWidth="11.42578125" defaultRowHeight="15" x14ac:dyDescent="0.25"/>
  <cols>
    <col min="1" max="1" width="4" customWidth="1"/>
    <col min="2" max="2" width="19.28515625" customWidth="1"/>
    <col min="3" max="3" width="17.42578125" customWidth="1"/>
    <col min="4" max="4" width="27.7109375" customWidth="1"/>
    <col min="5" max="5" width="47.42578125" customWidth="1"/>
  </cols>
  <sheetData>
    <row r="1" spans="2:8" ht="15.75" thickBot="1" x14ac:dyDescent="0.3"/>
    <row r="2" spans="2:8" ht="30" customHeight="1" x14ac:dyDescent="0.4">
      <c r="B2" s="82" t="s">
        <v>1604</v>
      </c>
      <c r="C2" s="83"/>
      <c r="D2" s="83"/>
      <c r="E2" s="83"/>
      <c r="F2" s="83"/>
      <c r="G2" s="83"/>
      <c r="H2" s="84"/>
    </row>
    <row r="3" spans="2:8" ht="18" customHeight="1" x14ac:dyDescent="0.35">
      <c r="B3" s="59"/>
      <c r="C3" s="60"/>
      <c r="D3" s="60"/>
      <c r="E3" s="60"/>
      <c r="F3" s="60"/>
      <c r="G3" s="60"/>
      <c r="H3" s="61"/>
    </row>
    <row r="4" spans="2:8" ht="15.95" customHeight="1" x14ac:dyDescent="0.25">
      <c r="B4" s="91" t="s">
        <v>1605</v>
      </c>
      <c r="C4" s="92"/>
      <c r="D4" s="92"/>
      <c r="E4" s="92"/>
      <c r="F4" s="92"/>
      <c r="G4" s="92"/>
      <c r="H4" s="93"/>
    </row>
    <row r="5" spans="2:8" ht="15.95" customHeight="1" x14ac:dyDescent="0.25">
      <c r="B5" s="91"/>
      <c r="C5" s="92"/>
      <c r="D5" s="92"/>
      <c r="E5" s="92"/>
      <c r="F5" s="92"/>
      <c r="G5" s="92"/>
      <c r="H5" s="93"/>
    </row>
    <row r="6" spans="2:8" ht="15.95" customHeight="1" x14ac:dyDescent="0.25">
      <c r="B6" s="91"/>
      <c r="C6" s="92"/>
      <c r="D6" s="92"/>
      <c r="E6" s="92"/>
      <c r="F6" s="92"/>
      <c r="G6" s="92"/>
      <c r="H6" s="93"/>
    </row>
    <row r="7" spans="2:8" ht="15.95" customHeight="1" x14ac:dyDescent="0.25">
      <c r="B7" s="91"/>
      <c r="C7" s="92"/>
      <c r="D7" s="92"/>
      <c r="E7" s="92"/>
      <c r="F7" s="92"/>
      <c r="G7" s="92"/>
      <c r="H7" s="93"/>
    </row>
    <row r="8" spans="2:8" ht="20.100000000000001" customHeight="1" x14ac:dyDescent="0.25">
      <c r="B8" s="91"/>
      <c r="C8" s="92"/>
      <c r="D8" s="92"/>
      <c r="E8" s="92"/>
      <c r="F8" s="92"/>
      <c r="G8" s="92"/>
      <c r="H8" s="93"/>
    </row>
    <row r="9" spans="2:8" x14ac:dyDescent="0.25">
      <c r="B9" s="62"/>
      <c r="H9" s="63"/>
    </row>
    <row r="10" spans="2:8" ht="27" x14ac:dyDescent="0.35">
      <c r="B10" s="76" t="s">
        <v>1606</v>
      </c>
      <c r="C10" s="77"/>
      <c r="D10" s="77"/>
      <c r="E10" s="77"/>
      <c r="F10" s="77"/>
      <c r="G10" s="77"/>
      <c r="H10" s="78"/>
    </row>
    <row r="11" spans="2:8" x14ac:dyDescent="0.25">
      <c r="B11" s="62"/>
      <c r="H11" s="63"/>
    </row>
    <row r="12" spans="2:8" ht="15" customHeight="1" x14ac:dyDescent="0.25">
      <c r="B12" s="94" t="s">
        <v>1607</v>
      </c>
      <c r="C12" s="95"/>
      <c r="D12" s="95"/>
      <c r="E12" s="95"/>
      <c r="F12" s="95"/>
      <c r="G12" s="95"/>
      <c r="H12" s="96"/>
    </row>
    <row r="13" spans="2:8" ht="15" customHeight="1" x14ac:dyDescent="0.25">
      <c r="B13" s="94"/>
      <c r="C13" s="95"/>
      <c r="D13" s="95"/>
      <c r="E13" s="95"/>
      <c r="F13" s="95"/>
      <c r="G13" s="95"/>
      <c r="H13" s="96"/>
    </row>
    <row r="14" spans="2:8" ht="15" customHeight="1" x14ac:dyDescent="0.25">
      <c r="B14" s="94"/>
      <c r="C14" s="95"/>
      <c r="D14" s="95"/>
      <c r="E14" s="95"/>
      <c r="F14" s="95"/>
      <c r="G14" s="95"/>
      <c r="H14" s="96"/>
    </row>
    <row r="15" spans="2:8" ht="15" customHeight="1" x14ac:dyDescent="0.25">
      <c r="B15" s="94"/>
      <c r="C15" s="95"/>
      <c r="D15" s="95"/>
      <c r="E15" s="95"/>
      <c r="F15" s="95"/>
      <c r="G15" s="95"/>
      <c r="H15" s="96"/>
    </row>
    <row r="16" spans="2:8" ht="15" customHeight="1" x14ac:dyDescent="0.25">
      <c r="B16" s="94"/>
      <c r="C16" s="95"/>
      <c r="D16" s="95"/>
      <c r="E16" s="95"/>
      <c r="F16" s="95"/>
      <c r="G16" s="95"/>
      <c r="H16" s="96"/>
    </row>
    <row r="17" spans="2:8" ht="15" customHeight="1" x14ac:dyDescent="0.25">
      <c r="B17" s="94"/>
      <c r="C17" s="95"/>
      <c r="D17" s="95"/>
      <c r="E17" s="95"/>
      <c r="F17" s="95"/>
      <c r="G17" s="95"/>
      <c r="H17" s="96"/>
    </row>
    <row r="18" spans="2:8" ht="15" customHeight="1" x14ac:dyDescent="0.3">
      <c r="B18" s="64"/>
      <c r="C18" s="65"/>
      <c r="D18" s="65"/>
      <c r="E18" s="65"/>
      <c r="F18" s="65"/>
      <c r="G18" s="65"/>
      <c r="H18" s="66"/>
    </row>
    <row r="19" spans="2:8" ht="27.95" customHeight="1" x14ac:dyDescent="0.35">
      <c r="B19" s="76" t="s">
        <v>1608</v>
      </c>
      <c r="C19" s="77"/>
      <c r="D19" s="77"/>
      <c r="E19" s="77"/>
      <c r="F19" s="77"/>
      <c r="G19" s="77"/>
      <c r="H19" s="78"/>
    </row>
    <row r="20" spans="2:8" ht="15" customHeight="1" x14ac:dyDescent="0.3">
      <c r="B20" s="64"/>
      <c r="C20" s="65"/>
      <c r="D20" s="65"/>
      <c r="E20" s="65"/>
      <c r="F20" s="65"/>
      <c r="G20" s="65"/>
      <c r="H20" s="66"/>
    </row>
    <row r="21" spans="2:8" ht="15" customHeight="1" x14ac:dyDescent="0.25">
      <c r="B21" s="88" t="s">
        <v>1609</v>
      </c>
      <c r="C21" s="89"/>
      <c r="D21" s="89"/>
      <c r="E21" s="89"/>
      <c r="F21" s="89"/>
      <c r="G21" s="89"/>
      <c r="H21" s="90"/>
    </row>
    <row r="22" spans="2:8" ht="15" customHeight="1" x14ac:dyDescent="0.25">
      <c r="B22" s="88"/>
      <c r="C22" s="89"/>
      <c r="D22" s="89"/>
      <c r="E22" s="89"/>
      <c r="F22" s="89"/>
      <c r="G22" s="89"/>
      <c r="H22" s="90"/>
    </row>
    <row r="23" spans="2:8" ht="15" customHeight="1" x14ac:dyDescent="0.25">
      <c r="B23" s="88"/>
      <c r="C23" s="89"/>
      <c r="D23" s="89"/>
      <c r="E23" s="89"/>
      <c r="F23" s="89"/>
      <c r="G23" s="89"/>
      <c r="H23" s="90"/>
    </row>
    <row r="24" spans="2:8" ht="15" customHeight="1" x14ac:dyDescent="0.25">
      <c r="B24" s="88"/>
      <c r="C24" s="89"/>
      <c r="D24" s="89"/>
      <c r="E24" s="89"/>
      <c r="F24" s="89"/>
      <c r="G24" s="89"/>
      <c r="H24" s="90"/>
    </row>
    <row r="25" spans="2:8" ht="15" customHeight="1" x14ac:dyDescent="0.25">
      <c r="B25" s="88"/>
      <c r="C25" s="89"/>
      <c r="D25" s="89"/>
      <c r="E25" s="89"/>
      <c r="F25" s="89"/>
      <c r="G25" s="89"/>
      <c r="H25" s="90"/>
    </row>
    <row r="26" spans="2:8" ht="15" customHeight="1" x14ac:dyDescent="0.25">
      <c r="B26" s="88"/>
      <c r="C26" s="89"/>
      <c r="D26" s="89"/>
      <c r="E26" s="89"/>
      <c r="F26" s="89"/>
      <c r="G26" s="89"/>
      <c r="H26" s="90"/>
    </row>
    <row r="27" spans="2:8" ht="15" customHeight="1" x14ac:dyDescent="0.25">
      <c r="B27" s="88"/>
      <c r="C27" s="89"/>
      <c r="D27" s="89"/>
      <c r="E27" s="89"/>
      <c r="F27" s="89"/>
      <c r="G27" s="89"/>
      <c r="H27" s="90"/>
    </row>
    <row r="28" spans="2:8" ht="15" customHeight="1" x14ac:dyDescent="0.25">
      <c r="B28" s="88"/>
      <c r="C28" s="89"/>
      <c r="D28" s="89"/>
      <c r="E28" s="89"/>
      <c r="F28" s="89"/>
      <c r="G28" s="89"/>
      <c r="H28" s="90"/>
    </row>
    <row r="29" spans="2:8" ht="15" customHeight="1" x14ac:dyDescent="0.25">
      <c r="B29" s="88"/>
      <c r="C29" s="89"/>
      <c r="D29" s="89"/>
      <c r="E29" s="89"/>
      <c r="F29" s="89"/>
      <c r="G29" s="89"/>
      <c r="H29" s="90"/>
    </row>
    <row r="30" spans="2:8" ht="15" customHeight="1" x14ac:dyDescent="0.25">
      <c r="B30" s="88"/>
      <c r="C30" s="89"/>
      <c r="D30" s="89"/>
      <c r="E30" s="89"/>
      <c r="F30" s="89"/>
      <c r="G30" s="89"/>
      <c r="H30" s="90"/>
    </row>
    <row r="31" spans="2:8" ht="15" customHeight="1" x14ac:dyDescent="0.25">
      <c r="B31" s="88"/>
      <c r="C31" s="89"/>
      <c r="D31" s="89"/>
      <c r="E31" s="89"/>
      <c r="F31" s="89"/>
      <c r="G31" s="89"/>
      <c r="H31" s="90"/>
    </row>
    <row r="32" spans="2:8" ht="15" customHeight="1" x14ac:dyDescent="0.25">
      <c r="B32" s="88"/>
      <c r="C32" s="89"/>
      <c r="D32" s="89"/>
      <c r="E32" s="89"/>
      <c r="F32" s="89"/>
      <c r="G32" s="89"/>
      <c r="H32" s="90"/>
    </row>
    <row r="33" spans="2:8" ht="15" customHeight="1" x14ac:dyDescent="0.25">
      <c r="B33" s="88"/>
      <c r="C33" s="89"/>
      <c r="D33" s="89"/>
      <c r="E33" s="89"/>
      <c r="F33" s="89"/>
      <c r="G33" s="89"/>
      <c r="H33" s="90"/>
    </row>
    <row r="34" spans="2:8" ht="15" customHeight="1" x14ac:dyDescent="0.25">
      <c r="B34" s="88"/>
      <c r="C34" s="89"/>
      <c r="D34" s="89"/>
      <c r="E34" s="89"/>
      <c r="F34" s="89"/>
      <c r="G34" s="89"/>
      <c r="H34" s="90"/>
    </row>
    <row r="35" spans="2:8" ht="15" customHeight="1" x14ac:dyDescent="0.25">
      <c r="B35" s="88"/>
      <c r="C35" s="89"/>
      <c r="D35" s="89"/>
      <c r="E35" s="89"/>
      <c r="F35" s="89"/>
      <c r="G35" s="89"/>
      <c r="H35" s="90"/>
    </row>
    <row r="36" spans="2:8" x14ac:dyDescent="0.25">
      <c r="B36" s="88"/>
      <c r="C36" s="89"/>
      <c r="D36" s="89"/>
      <c r="E36" s="89"/>
      <c r="F36" s="89"/>
      <c r="G36" s="89"/>
      <c r="H36" s="90"/>
    </row>
    <row r="37" spans="2:8" x14ac:dyDescent="0.25">
      <c r="B37" s="88"/>
      <c r="C37" s="89"/>
      <c r="D37" s="89"/>
      <c r="E37" s="89"/>
      <c r="F37" s="89"/>
      <c r="G37" s="89"/>
      <c r="H37" s="90"/>
    </row>
    <row r="38" spans="2:8" ht="114" customHeight="1" x14ac:dyDescent="0.25">
      <c r="B38" s="88"/>
      <c r="C38" s="89"/>
      <c r="D38" s="89"/>
      <c r="E38" s="89"/>
      <c r="F38" s="89"/>
      <c r="G38" s="89"/>
      <c r="H38" s="90"/>
    </row>
    <row r="39" spans="2:8" x14ac:dyDescent="0.25">
      <c r="B39" s="62"/>
      <c r="H39" s="63"/>
    </row>
    <row r="40" spans="2:8" ht="70.5" customHeight="1" x14ac:dyDescent="0.25">
      <c r="B40" s="88" t="s">
        <v>1610</v>
      </c>
      <c r="C40" s="89"/>
      <c r="D40" s="89"/>
      <c r="E40" s="89"/>
      <c r="F40" s="89"/>
      <c r="G40" s="89"/>
      <c r="H40" s="90"/>
    </row>
    <row r="41" spans="2:8" x14ac:dyDescent="0.25">
      <c r="B41" s="88"/>
      <c r="C41" s="89"/>
      <c r="D41" s="89"/>
      <c r="E41" s="89"/>
      <c r="F41" s="89"/>
      <c r="G41" s="89"/>
      <c r="H41" s="90"/>
    </row>
    <row r="42" spans="2:8" x14ac:dyDescent="0.25">
      <c r="B42" s="88"/>
      <c r="C42" s="89"/>
      <c r="D42" s="89"/>
      <c r="E42" s="89"/>
      <c r="F42" s="89"/>
      <c r="G42" s="89"/>
      <c r="H42" s="90"/>
    </row>
    <row r="43" spans="2:8" x14ac:dyDescent="0.25">
      <c r="B43" s="88"/>
      <c r="C43" s="89"/>
      <c r="D43" s="89"/>
      <c r="E43" s="89"/>
      <c r="F43" s="89"/>
      <c r="G43" s="89"/>
      <c r="H43" s="90"/>
    </row>
    <row r="44" spans="2:8" x14ac:dyDescent="0.25">
      <c r="B44" s="88"/>
      <c r="C44" s="89"/>
      <c r="D44" s="89"/>
      <c r="E44" s="89"/>
      <c r="F44" s="89"/>
      <c r="G44" s="89"/>
      <c r="H44" s="90"/>
    </row>
    <row r="45" spans="2:8" x14ac:dyDescent="0.25">
      <c r="B45" s="88"/>
      <c r="C45" s="89"/>
      <c r="D45" s="89"/>
      <c r="E45" s="89"/>
      <c r="F45" s="89"/>
      <c r="G45" s="89"/>
      <c r="H45" s="90"/>
    </row>
    <row r="46" spans="2:8" x14ac:dyDescent="0.25">
      <c r="B46" s="88"/>
      <c r="C46" s="89"/>
      <c r="D46" s="89"/>
      <c r="E46" s="89"/>
      <c r="F46" s="89"/>
      <c r="G46" s="89"/>
      <c r="H46" s="90"/>
    </row>
    <row r="47" spans="2:8" x14ac:dyDescent="0.25">
      <c r="B47" s="88"/>
      <c r="C47" s="89"/>
      <c r="D47" s="89"/>
      <c r="E47" s="89"/>
      <c r="F47" s="89"/>
      <c r="G47" s="89"/>
      <c r="H47" s="90"/>
    </row>
    <row r="48" spans="2:8" x14ac:dyDescent="0.25">
      <c r="B48" s="88"/>
      <c r="C48" s="89"/>
      <c r="D48" s="89"/>
      <c r="E48" s="89"/>
      <c r="F48" s="89"/>
      <c r="G48" s="89"/>
      <c r="H48" s="90"/>
    </row>
    <row r="49" spans="2:8" x14ac:dyDescent="0.25">
      <c r="B49" s="88"/>
      <c r="C49" s="89"/>
      <c r="D49" s="89"/>
      <c r="E49" s="89"/>
      <c r="F49" s="89"/>
      <c r="G49" s="89"/>
      <c r="H49" s="90"/>
    </row>
    <row r="50" spans="2:8" x14ac:dyDescent="0.25">
      <c r="B50" s="88"/>
      <c r="C50" s="89"/>
      <c r="D50" s="89"/>
      <c r="E50" s="89"/>
      <c r="F50" s="89"/>
      <c r="G50" s="89"/>
      <c r="H50" s="90"/>
    </row>
    <row r="51" spans="2:8" x14ac:dyDescent="0.25">
      <c r="B51" s="88"/>
      <c r="C51" s="89"/>
      <c r="D51" s="89"/>
      <c r="E51" s="89"/>
      <c r="F51" s="89"/>
      <c r="G51" s="89"/>
      <c r="H51" s="90"/>
    </row>
    <row r="52" spans="2:8" x14ac:dyDescent="0.25">
      <c r="B52" s="88"/>
      <c r="C52" s="89"/>
      <c r="D52" s="89"/>
      <c r="E52" s="89"/>
      <c r="F52" s="89"/>
      <c r="G52" s="89"/>
      <c r="H52" s="90"/>
    </row>
    <row r="53" spans="2:8" x14ac:dyDescent="0.25">
      <c r="B53" s="88"/>
      <c r="C53" s="89"/>
      <c r="D53" s="89"/>
      <c r="E53" s="89"/>
      <c r="F53" s="89"/>
      <c r="G53" s="89"/>
      <c r="H53" s="90"/>
    </row>
    <row r="54" spans="2:8" ht="142.5" customHeight="1" x14ac:dyDescent="0.25">
      <c r="B54" s="88"/>
      <c r="C54" s="89"/>
      <c r="D54" s="89"/>
      <c r="E54" s="89"/>
      <c r="F54" s="89"/>
      <c r="G54" s="89"/>
      <c r="H54" s="90"/>
    </row>
    <row r="55" spans="2:8" ht="14.25" customHeight="1" x14ac:dyDescent="0.25">
      <c r="B55" s="67"/>
      <c r="C55" s="68"/>
      <c r="D55" s="68"/>
      <c r="E55" s="68"/>
      <c r="F55" s="68"/>
      <c r="G55" s="68"/>
      <c r="H55" s="69"/>
    </row>
    <row r="56" spans="2:8" ht="42.75" customHeight="1" x14ac:dyDescent="0.25">
      <c r="B56" s="88" t="s">
        <v>1611</v>
      </c>
      <c r="C56" s="89"/>
      <c r="D56" s="89"/>
      <c r="E56" s="89"/>
      <c r="F56" s="89"/>
      <c r="G56" s="89"/>
      <c r="H56" s="90"/>
    </row>
    <row r="57" spans="2:8" x14ac:dyDescent="0.25">
      <c r="B57" s="88"/>
      <c r="C57" s="89"/>
      <c r="D57" s="89"/>
      <c r="E57" s="89"/>
      <c r="F57" s="89"/>
      <c r="G57" s="89"/>
      <c r="H57" s="90"/>
    </row>
    <row r="58" spans="2:8" x14ac:dyDescent="0.25">
      <c r="B58" s="88"/>
      <c r="C58" s="89"/>
      <c r="D58" s="89"/>
      <c r="E58" s="89"/>
      <c r="F58" s="89"/>
      <c r="G58" s="89"/>
      <c r="H58" s="90"/>
    </row>
    <row r="59" spans="2:8" x14ac:dyDescent="0.25">
      <c r="B59" s="88"/>
      <c r="C59" s="89"/>
      <c r="D59" s="89"/>
      <c r="E59" s="89"/>
      <c r="F59" s="89"/>
      <c r="G59" s="89"/>
      <c r="H59" s="90"/>
    </row>
    <row r="60" spans="2:8" x14ac:dyDescent="0.25">
      <c r="B60" s="88"/>
      <c r="C60" s="89"/>
      <c r="D60" s="89"/>
      <c r="E60" s="89"/>
      <c r="F60" s="89"/>
      <c r="G60" s="89"/>
      <c r="H60" s="90"/>
    </row>
    <row r="61" spans="2:8" x14ac:dyDescent="0.25">
      <c r="B61" s="88"/>
      <c r="C61" s="89"/>
      <c r="D61" s="89"/>
      <c r="E61" s="89"/>
      <c r="F61" s="89"/>
      <c r="G61" s="89"/>
      <c r="H61" s="90"/>
    </row>
    <row r="62" spans="2:8" x14ac:dyDescent="0.25">
      <c r="B62" s="88"/>
      <c r="C62" s="89"/>
      <c r="D62" s="89"/>
      <c r="E62" s="89"/>
      <c r="F62" s="89"/>
      <c r="G62" s="89"/>
      <c r="H62" s="90"/>
    </row>
    <row r="63" spans="2:8" x14ac:dyDescent="0.25">
      <c r="B63" s="88"/>
      <c r="C63" s="89"/>
      <c r="D63" s="89"/>
      <c r="E63" s="89"/>
      <c r="F63" s="89"/>
      <c r="G63" s="89"/>
      <c r="H63" s="90"/>
    </row>
    <row r="64" spans="2:8" ht="105.75" customHeight="1" x14ac:dyDescent="0.25">
      <c r="B64" s="88"/>
      <c r="C64" s="89"/>
      <c r="D64" s="89"/>
      <c r="E64" s="89"/>
      <c r="F64" s="89"/>
      <c r="G64" s="89"/>
      <c r="H64" s="90"/>
    </row>
    <row r="65" spans="2:8" ht="243.75" customHeight="1" x14ac:dyDescent="0.25">
      <c r="B65" s="88"/>
      <c r="C65" s="89"/>
      <c r="D65" s="89"/>
      <c r="E65" s="89"/>
      <c r="F65" s="89"/>
      <c r="G65" s="89"/>
      <c r="H65" s="90"/>
    </row>
    <row r="66" spans="2:8" x14ac:dyDescent="0.25">
      <c r="B66" s="70"/>
      <c r="C66" s="71"/>
      <c r="D66" s="71"/>
      <c r="E66" s="71"/>
      <c r="F66" s="71"/>
      <c r="G66" s="71"/>
      <c r="H66" s="72"/>
    </row>
    <row r="67" spans="2:8" ht="27" x14ac:dyDescent="0.35">
      <c r="B67" s="76" t="s">
        <v>1612</v>
      </c>
      <c r="C67" s="77"/>
      <c r="D67" s="77"/>
      <c r="E67" s="77"/>
      <c r="F67" s="77"/>
      <c r="G67" s="77"/>
      <c r="H67" s="78"/>
    </row>
    <row r="68" spans="2:8" x14ac:dyDescent="0.25">
      <c r="B68" s="62"/>
      <c r="H68" s="63"/>
    </row>
    <row r="69" spans="2:8" ht="21" thickBot="1" x14ac:dyDescent="0.3">
      <c r="B69" s="79" t="s">
        <v>1613</v>
      </c>
      <c r="C69" s="80"/>
      <c r="D69" s="80"/>
      <c r="E69" s="80"/>
      <c r="F69" s="80"/>
      <c r="G69" s="80"/>
      <c r="H69" s="81"/>
    </row>
    <row r="70" spans="2:8" ht="21" thickBot="1" x14ac:dyDescent="0.35">
      <c r="B70" s="73" t="s">
        <v>1614</v>
      </c>
      <c r="C70" s="57" t="s">
        <v>1615</v>
      </c>
      <c r="D70" s="57" t="s">
        <v>1616</v>
      </c>
      <c r="E70" s="57" t="s">
        <v>1617</v>
      </c>
      <c r="F70" s="74"/>
      <c r="G70" s="74"/>
      <c r="H70" s="75"/>
    </row>
    <row r="71" spans="2:8" ht="65.25" customHeight="1" thickBot="1" x14ac:dyDescent="0.35">
      <c r="B71" s="73" t="s">
        <v>1618</v>
      </c>
      <c r="C71" s="58" t="s">
        <v>1624</v>
      </c>
      <c r="D71" s="57" t="s">
        <v>1619</v>
      </c>
      <c r="E71" s="57" t="s">
        <v>1622</v>
      </c>
      <c r="F71" s="74"/>
      <c r="G71" s="74"/>
      <c r="H71" s="75"/>
    </row>
    <row r="72" spans="2:8" ht="78" customHeight="1" thickBot="1" x14ac:dyDescent="0.35">
      <c r="B72" s="73" t="s">
        <v>1620</v>
      </c>
      <c r="C72" s="58" t="s">
        <v>1625</v>
      </c>
      <c r="D72" s="57" t="s">
        <v>1621</v>
      </c>
      <c r="E72" s="57" t="s">
        <v>1623</v>
      </c>
      <c r="F72" s="74"/>
      <c r="G72" s="74"/>
      <c r="H72" s="75"/>
    </row>
    <row r="73" spans="2:8" x14ac:dyDescent="0.25">
      <c r="B73" s="62"/>
      <c r="H73" s="63"/>
    </row>
    <row r="74" spans="2:8" x14ac:dyDescent="0.25">
      <c r="B74" s="62"/>
      <c r="H74" s="63"/>
    </row>
    <row r="75" spans="2:8" x14ac:dyDescent="0.25">
      <c r="B75" s="79" t="s">
        <v>1627</v>
      </c>
      <c r="C75" s="80"/>
      <c r="D75" s="80"/>
      <c r="E75" s="80"/>
      <c r="F75" s="80"/>
      <c r="G75" s="80"/>
      <c r="H75" s="81"/>
    </row>
    <row r="76" spans="2:8" x14ac:dyDescent="0.25">
      <c r="B76" s="79"/>
      <c r="C76" s="80"/>
      <c r="D76" s="80"/>
      <c r="E76" s="80"/>
      <c r="F76" s="80"/>
      <c r="G76" s="80"/>
      <c r="H76" s="81"/>
    </row>
    <row r="77" spans="2:8" x14ac:dyDescent="0.25">
      <c r="B77" s="79"/>
      <c r="C77" s="80"/>
      <c r="D77" s="80"/>
      <c r="E77" s="80"/>
      <c r="F77" s="80"/>
      <c r="G77" s="80"/>
      <c r="H77" s="81"/>
    </row>
    <row r="78" spans="2:8" x14ac:dyDescent="0.25">
      <c r="B78" s="79"/>
      <c r="C78" s="80"/>
      <c r="D78" s="80"/>
      <c r="E78" s="80"/>
      <c r="F78" s="80"/>
      <c r="G78" s="80"/>
      <c r="H78" s="81"/>
    </row>
    <row r="79" spans="2:8" ht="15.75" thickBot="1" x14ac:dyDescent="0.3">
      <c r="B79" s="85"/>
      <c r="C79" s="86"/>
      <c r="D79" s="86"/>
      <c r="E79" s="86"/>
      <c r="F79" s="86"/>
      <c r="G79" s="86"/>
      <c r="H79" s="87"/>
    </row>
    <row r="81" spans="2:2" x14ac:dyDescent="0.25">
      <c r="B81" s="54" t="s">
        <v>1626</v>
      </c>
    </row>
  </sheetData>
  <mergeCells count="11">
    <mergeCell ref="B67:H67"/>
    <mergeCell ref="B69:H69"/>
    <mergeCell ref="B2:H2"/>
    <mergeCell ref="B75:H79"/>
    <mergeCell ref="B21:H38"/>
    <mergeCell ref="B4:H8"/>
    <mergeCell ref="B10:H10"/>
    <mergeCell ref="B12:H17"/>
    <mergeCell ref="B19:H19"/>
    <mergeCell ref="B40:H54"/>
    <mergeCell ref="B56:H6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E5F32-6730-4D4E-B076-D16E24157933}">
  <dimension ref="B1:U88"/>
  <sheetViews>
    <sheetView showGridLines="0" topLeftCell="A47" workbookViewId="0">
      <selection activeCell="C93" sqref="C93"/>
    </sheetView>
  </sheetViews>
  <sheetFormatPr defaultColWidth="8.85546875" defaultRowHeight="15" x14ac:dyDescent="0.25"/>
  <cols>
    <col min="1" max="1" width="2.140625" customWidth="1"/>
    <col min="2" max="2" width="14.7109375" customWidth="1"/>
    <col min="3" max="3" width="58.42578125" bestFit="1" customWidth="1"/>
    <col min="4" max="4" width="20.42578125" customWidth="1"/>
    <col min="5" max="5" width="17.85546875" customWidth="1"/>
    <col min="6" max="6" width="18.42578125" customWidth="1"/>
    <col min="7" max="7" width="21.85546875" customWidth="1"/>
    <col min="8" max="8" width="24" bestFit="1" customWidth="1"/>
    <col min="9" max="9" width="17.7109375" bestFit="1" customWidth="1"/>
    <col min="10" max="10" width="22.28515625" bestFit="1" customWidth="1"/>
    <col min="11" max="11" width="22.140625" bestFit="1" customWidth="1"/>
    <col min="12" max="12" width="20.42578125" bestFit="1" customWidth="1"/>
    <col min="13" max="13" width="16.42578125" customWidth="1"/>
    <col min="14" max="14" width="20.7109375" bestFit="1" customWidth="1"/>
    <col min="15" max="15" width="14.85546875" bestFit="1" customWidth="1"/>
    <col min="16" max="16" width="25.85546875" bestFit="1" customWidth="1"/>
    <col min="17" max="17" width="20.85546875" bestFit="1" customWidth="1"/>
    <col min="18" max="18" width="8.42578125" bestFit="1" customWidth="1"/>
    <col min="19" max="19" width="20.7109375" bestFit="1" customWidth="1"/>
    <col min="20" max="20" width="13.28515625" bestFit="1" customWidth="1"/>
    <col min="21" max="21" width="17.7109375" bestFit="1" customWidth="1"/>
  </cols>
  <sheetData>
    <row r="1" spans="2:21" hidden="1" x14ac:dyDescent="0.25">
      <c r="B1" s="1" t="s">
        <v>0</v>
      </c>
      <c r="C1" s="2" t="s">
        <v>1</v>
      </c>
      <c r="D1" s="2" t="s">
        <v>3</v>
      </c>
      <c r="E1" s="2" t="s">
        <v>4</v>
      </c>
      <c r="F1" s="2" t="s">
        <v>5</v>
      </c>
      <c r="G1" s="2" t="s">
        <v>7</v>
      </c>
      <c r="H1" s="2" t="s">
        <v>9</v>
      </c>
      <c r="I1" s="2" t="s">
        <v>10</v>
      </c>
      <c r="J1" s="2" t="s">
        <v>11</v>
      </c>
      <c r="K1" s="2" t="s">
        <v>12</v>
      </c>
      <c r="L1" s="2" t="s">
        <v>13</v>
      </c>
      <c r="M1" s="2" t="s">
        <v>1597</v>
      </c>
      <c r="N1" s="7" t="s">
        <v>1588</v>
      </c>
      <c r="O1" s="7" t="s">
        <v>1589</v>
      </c>
      <c r="P1" s="7" t="s">
        <v>1590</v>
      </c>
      <c r="Q1" s="7" t="s">
        <v>1591</v>
      </c>
      <c r="R1" s="7" t="s">
        <v>110</v>
      </c>
      <c r="S1" s="7" t="s">
        <v>111</v>
      </c>
      <c r="T1" s="7" t="s">
        <v>1592</v>
      </c>
      <c r="U1" s="52" t="s">
        <v>109</v>
      </c>
    </row>
    <row r="2" spans="2:21" hidden="1" x14ac:dyDescent="0.25">
      <c r="B2" s="38" t="s">
        <v>51</v>
      </c>
      <c r="C2" s="39" t="s">
        <v>52</v>
      </c>
      <c r="D2" s="40">
        <v>44467</v>
      </c>
      <c r="E2" s="40">
        <v>48117</v>
      </c>
      <c r="F2" s="39">
        <v>1000</v>
      </c>
      <c r="G2" s="39">
        <v>740.7</v>
      </c>
      <c r="H2" s="39">
        <v>74.069999999999993</v>
      </c>
      <c r="I2" s="39">
        <v>656</v>
      </c>
      <c r="J2" s="41">
        <v>6.7500000000000004E-2</v>
      </c>
      <c r="K2" s="39" t="s">
        <v>53</v>
      </c>
      <c r="L2" s="3">
        <f t="shared" ref="L2:L37" ca="1" si="0">E2-TODAY()</f>
        <v>2107</v>
      </c>
      <c r="M2" s="6">
        <f t="shared" ref="M2:M37" si="1">F2*J2/G2</f>
        <v>9.113001215066828E-2</v>
      </c>
      <c r="N2" s="50">
        <f t="shared" ref="N2:N37" si="2">ROUND(YEARFRAC(D2,E2),0)</f>
        <v>10</v>
      </c>
      <c r="O2" s="42" cm="1">
        <f t="array" ref="O2">_xlfn.IFS(K2="Semi-annual",2,K2="Quarterly",4,K2="Annual",1,K2="Every 4 months",3,K2="Monthly",12)</f>
        <v>2</v>
      </c>
      <c r="P2" s="42">
        <f t="shared" ref="P2:P37" si="3">O2*N2</f>
        <v>20</v>
      </c>
      <c r="Q2" s="42">
        <f t="shared" ref="Q2:Q37" si="4">F2*J2/O2</f>
        <v>33.75</v>
      </c>
      <c r="R2" s="51">
        <f t="shared" ref="R2:R37" si="5">RATE(P2,Q2,-G2,F2)</f>
        <v>5.5546546191669946E-2</v>
      </c>
      <c r="S2" s="45">
        <f t="shared" ref="S2:S37" si="6">R2*O2</f>
        <v>0.11109309238333989</v>
      </c>
      <c r="T2" s="42">
        <f t="shared" ref="T2:T37" si="7">DURATION(D2,E2,J2,S2,O2)</f>
        <v>6.9417613813152474</v>
      </c>
      <c r="U2" s="42">
        <f>T2/(1+R2)</f>
        <v>6.5764616504696871</v>
      </c>
    </row>
    <row r="3" spans="2:21" hidden="1" x14ac:dyDescent="0.25">
      <c r="B3" s="38" t="s">
        <v>67</v>
      </c>
      <c r="C3" s="39" t="s">
        <v>68</v>
      </c>
      <c r="D3" s="40">
        <v>43866</v>
      </c>
      <c r="E3" s="40">
        <v>47519</v>
      </c>
      <c r="F3" s="39">
        <v>1000</v>
      </c>
      <c r="G3" s="39">
        <v>1030</v>
      </c>
      <c r="H3" s="39">
        <v>103</v>
      </c>
      <c r="I3" s="39">
        <v>100</v>
      </c>
      <c r="J3" s="41">
        <v>0.10249999999999999</v>
      </c>
      <c r="K3" s="39" t="s">
        <v>21</v>
      </c>
      <c r="L3" s="3">
        <f t="shared" ca="1" si="0"/>
        <v>1509</v>
      </c>
      <c r="M3" s="6">
        <f t="shared" si="1"/>
        <v>9.9514563106796114E-2</v>
      </c>
      <c r="N3" s="50">
        <f t="shared" si="2"/>
        <v>10</v>
      </c>
      <c r="O3" s="42" cm="1">
        <f t="array" ref="O3">_xlfn.IFS(K3="Semi-annual",2,K3="Quarterly",4,K3="Annual",1,K3="Every 4 months",3,K3="Monthly",12)</f>
        <v>1</v>
      </c>
      <c r="P3" s="42">
        <f t="shared" si="3"/>
        <v>10</v>
      </c>
      <c r="Q3" s="42">
        <f t="shared" si="4"/>
        <v>102.5</v>
      </c>
      <c r="R3" s="51">
        <f t="shared" si="5"/>
        <v>9.7666474499080877E-2</v>
      </c>
      <c r="S3" s="45">
        <f t="shared" si="6"/>
        <v>9.7666474499080877E-2</v>
      </c>
      <c r="T3" s="42">
        <f t="shared" si="7"/>
        <v>6.7525223588474219</v>
      </c>
      <c r="U3" s="42">
        <f t="shared" ref="U3:U37" si="8">T3/(1+R3)</f>
        <v>6.151706839665418</v>
      </c>
    </row>
    <row r="4" spans="2:21" hidden="1" x14ac:dyDescent="0.25">
      <c r="B4" s="38" t="s">
        <v>59</v>
      </c>
      <c r="C4" s="39" t="s">
        <v>60</v>
      </c>
      <c r="D4" s="40">
        <v>43608</v>
      </c>
      <c r="E4" s="40">
        <v>47261</v>
      </c>
      <c r="F4" s="39">
        <v>1000</v>
      </c>
      <c r="G4" s="39">
        <v>1028</v>
      </c>
      <c r="H4" s="39">
        <v>102.8</v>
      </c>
      <c r="I4" s="39">
        <v>25</v>
      </c>
      <c r="J4" s="41">
        <v>0.10400000000000001</v>
      </c>
      <c r="K4" s="39" t="s">
        <v>21</v>
      </c>
      <c r="L4" s="3">
        <f t="shared" ca="1" si="0"/>
        <v>1251</v>
      </c>
      <c r="M4" s="6">
        <f t="shared" si="1"/>
        <v>0.10116731517509729</v>
      </c>
      <c r="N4" s="50">
        <f t="shared" si="2"/>
        <v>10</v>
      </c>
      <c r="O4" s="42" cm="1">
        <f t="array" ref="O4">_xlfn.IFS(K4="Semi-annual",2,K4="Quarterly",4,K4="Annual",1,K4="Every 4 months",3,K4="Monthly",12)</f>
        <v>1</v>
      </c>
      <c r="P4" s="42">
        <f t="shared" si="3"/>
        <v>10</v>
      </c>
      <c r="Q4" s="42">
        <f t="shared" si="4"/>
        <v>104.00000000000001</v>
      </c>
      <c r="R4" s="51">
        <f t="shared" si="5"/>
        <v>9.9453815447831356E-2</v>
      </c>
      <c r="S4" s="45">
        <f t="shared" si="6"/>
        <v>9.9453815447831356E-2</v>
      </c>
      <c r="T4" s="42">
        <f t="shared" si="7"/>
        <v>6.7159246591279702</v>
      </c>
      <c r="U4" s="42">
        <f t="shared" si="8"/>
        <v>6.108419075695716</v>
      </c>
    </row>
    <row r="5" spans="2:21" hidden="1" x14ac:dyDescent="0.25">
      <c r="B5" s="38" t="s">
        <v>69</v>
      </c>
      <c r="C5" s="39" t="s">
        <v>70</v>
      </c>
      <c r="D5" s="40">
        <v>43591</v>
      </c>
      <c r="E5" s="40">
        <v>47244</v>
      </c>
      <c r="F5" s="39">
        <v>1000</v>
      </c>
      <c r="G5" s="39">
        <v>1061.99</v>
      </c>
      <c r="H5" s="39">
        <v>106.199</v>
      </c>
      <c r="I5" s="39">
        <v>100</v>
      </c>
      <c r="J5" s="41">
        <v>0.1075</v>
      </c>
      <c r="K5" s="39" t="s">
        <v>21</v>
      </c>
      <c r="L5" s="3">
        <f t="shared" ca="1" si="0"/>
        <v>1234</v>
      </c>
      <c r="M5" s="6">
        <f t="shared" si="1"/>
        <v>0.10122505861637116</v>
      </c>
      <c r="N5" s="50">
        <f t="shared" si="2"/>
        <v>10</v>
      </c>
      <c r="O5" s="42" cm="1">
        <f t="array" ref="O5">_xlfn.IFS(K5="Semi-annual",2,K5="Quarterly",4,K5="Annual",1,K5="Every 4 months",3,K5="Monthly",12)</f>
        <v>1</v>
      </c>
      <c r="P5" s="42">
        <f t="shared" si="3"/>
        <v>10</v>
      </c>
      <c r="Q5" s="42">
        <f t="shared" si="4"/>
        <v>107.5</v>
      </c>
      <c r="R5" s="51">
        <f t="shared" si="5"/>
        <v>9.7518700618593357E-2</v>
      </c>
      <c r="S5" s="45">
        <f t="shared" si="6"/>
        <v>9.7518700618593357E-2</v>
      </c>
      <c r="T5" s="42">
        <f t="shared" si="7"/>
        <v>6.6952622077080557</v>
      </c>
      <c r="U5" s="42">
        <f t="shared" si="8"/>
        <v>6.1003627582239934</v>
      </c>
    </row>
    <row r="6" spans="2:21" hidden="1" x14ac:dyDescent="0.25">
      <c r="B6" s="38" t="s">
        <v>40</v>
      </c>
      <c r="C6" s="39" t="s">
        <v>41</v>
      </c>
      <c r="D6" s="40">
        <v>43483</v>
      </c>
      <c r="E6" s="40">
        <v>47136</v>
      </c>
      <c r="F6" s="39">
        <v>1000</v>
      </c>
      <c r="G6" s="39">
        <v>840.79998999999998</v>
      </c>
      <c r="H6" s="39">
        <v>84.079999000000001</v>
      </c>
      <c r="I6" s="39">
        <v>1600</v>
      </c>
      <c r="J6" s="41">
        <v>9.35E-2</v>
      </c>
      <c r="K6" s="39" t="s">
        <v>21</v>
      </c>
      <c r="L6" s="3">
        <f t="shared" ca="1" si="0"/>
        <v>1126</v>
      </c>
      <c r="M6" s="6">
        <f t="shared" si="1"/>
        <v>0.11120361692677946</v>
      </c>
      <c r="N6" s="50">
        <f t="shared" si="2"/>
        <v>10</v>
      </c>
      <c r="O6" s="42" cm="1">
        <f t="array" ref="O6">_xlfn.IFS(K6="Semi-annual",2,K6="Quarterly",4,K6="Annual",1,K6="Every 4 months",3,K6="Monthly",12)</f>
        <v>1</v>
      </c>
      <c r="P6" s="42">
        <f t="shared" si="3"/>
        <v>10</v>
      </c>
      <c r="Q6" s="42">
        <f t="shared" si="4"/>
        <v>93.5</v>
      </c>
      <c r="R6" s="51">
        <f t="shared" si="5"/>
        <v>0.12189476572328214</v>
      </c>
      <c r="S6" s="45">
        <f t="shared" si="6"/>
        <v>0.12189476572328214</v>
      </c>
      <c r="T6" s="42">
        <f t="shared" si="7"/>
        <v>6.6154797031175487</v>
      </c>
      <c r="U6" s="42">
        <f t="shared" si="8"/>
        <v>5.8967025297177225</v>
      </c>
    </row>
    <row r="7" spans="2:21" hidden="1" x14ac:dyDescent="0.25">
      <c r="B7" s="38" t="s">
        <v>47</v>
      </c>
      <c r="C7" s="39" t="s">
        <v>48</v>
      </c>
      <c r="D7" s="40">
        <v>45377</v>
      </c>
      <c r="E7" s="40">
        <v>49029</v>
      </c>
      <c r="F7" s="39">
        <v>1000</v>
      </c>
      <c r="G7" s="39">
        <v>960</v>
      </c>
      <c r="H7" s="39">
        <v>96</v>
      </c>
      <c r="I7" s="39">
        <v>100</v>
      </c>
      <c r="J7" s="41">
        <v>0.1075</v>
      </c>
      <c r="K7" s="39" t="s">
        <v>21</v>
      </c>
      <c r="L7" s="3">
        <f t="shared" ca="1" si="0"/>
        <v>3019</v>
      </c>
      <c r="M7" s="6">
        <f t="shared" si="1"/>
        <v>0.11197916666666667</v>
      </c>
      <c r="N7" s="50">
        <f t="shared" si="2"/>
        <v>10</v>
      </c>
      <c r="O7" s="42" cm="1">
        <f t="array" ref="O7">_xlfn.IFS(K7="Semi-annual",2,K7="Quarterly",4,K7="Annual",1,K7="Every 4 months",3,K7="Monthly",12)</f>
        <v>1</v>
      </c>
      <c r="P7" s="42">
        <f t="shared" si="3"/>
        <v>10</v>
      </c>
      <c r="Q7" s="42">
        <f t="shared" si="4"/>
        <v>107.5</v>
      </c>
      <c r="R7" s="51">
        <f t="shared" si="5"/>
        <v>0.1144183861387726</v>
      </c>
      <c r="S7" s="45">
        <f t="shared" si="6"/>
        <v>0.1144183861387726</v>
      </c>
      <c r="T7" s="42">
        <f t="shared" si="7"/>
        <v>6.5190522244310465</v>
      </c>
      <c r="U7" s="42">
        <f t="shared" si="8"/>
        <v>5.8497349877887457</v>
      </c>
    </row>
    <row r="8" spans="2:21" hidden="1" x14ac:dyDescent="0.25">
      <c r="B8" s="38" t="s">
        <v>28</v>
      </c>
      <c r="C8" s="39" t="s">
        <v>29</v>
      </c>
      <c r="D8" s="40">
        <v>45663</v>
      </c>
      <c r="E8" s="40">
        <v>49315</v>
      </c>
      <c r="F8" s="39">
        <v>1000</v>
      </c>
      <c r="G8" s="39">
        <v>860</v>
      </c>
      <c r="H8" s="39">
        <v>86</v>
      </c>
      <c r="I8" s="39">
        <v>100</v>
      </c>
      <c r="J8" s="41">
        <v>0.11</v>
      </c>
      <c r="K8" s="39" t="s">
        <v>21</v>
      </c>
      <c r="L8" s="3">
        <f t="shared" ca="1" si="0"/>
        <v>3305</v>
      </c>
      <c r="M8" s="6">
        <f t="shared" si="1"/>
        <v>0.12790697674418605</v>
      </c>
      <c r="N8" s="50">
        <f t="shared" si="2"/>
        <v>10</v>
      </c>
      <c r="O8" s="42" cm="1">
        <f t="array" ref="O8">_xlfn.IFS(K8="Semi-annual",2,K8="Quarterly",4,K8="Annual",1,K8="Every 4 months",3,K8="Monthly",12)</f>
        <v>1</v>
      </c>
      <c r="P8" s="42">
        <f t="shared" si="3"/>
        <v>10</v>
      </c>
      <c r="Q8" s="42">
        <f t="shared" si="4"/>
        <v>110</v>
      </c>
      <c r="R8" s="51">
        <f t="shared" si="5"/>
        <v>0.13647127483476268</v>
      </c>
      <c r="S8" s="45">
        <f t="shared" si="6"/>
        <v>0.13647127483476268</v>
      </c>
      <c r="T8" s="42">
        <f t="shared" si="7"/>
        <v>6.2608758291441182</v>
      </c>
      <c r="U8" s="42">
        <f t="shared" si="8"/>
        <v>5.5090489023177627</v>
      </c>
    </row>
    <row r="9" spans="2:21" hidden="1" x14ac:dyDescent="0.25">
      <c r="B9" s="38" t="s">
        <v>23</v>
      </c>
      <c r="C9" s="39" t="s">
        <v>24</v>
      </c>
      <c r="D9" s="40">
        <v>45195</v>
      </c>
      <c r="E9" s="40">
        <v>47022</v>
      </c>
      <c r="F9" s="39">
        <v>1000</v>
      </c>
      <c r="G9" s="39">
        <v>739.8</v>
      </c>
      <c r="H9" s="39">
        <v>73.979999999999905</v>
      </c>
      <c r="I9" s="39">
        <v>41</v>
      </c>
      <c r="J9" s="41">
        <v>0.10150000000000001</v>
      </c>
      <c r="K9" s="39" t="s">
        <v>21</v>
      </c>
      <c r="L9" s="3">
        <f t="shared" ca="1" si="0"/>
        <v>1012</v>
      </c>
      <c r="M9" s="6">
        <f t="shared" si="1"/>
        <v>0.1371992430386591</v>
      </c>
      <c r="N9" s="50">
        <f t="shared" si="2"/>
        <v>5</v>
      </c>
      <c r="O9" s="42" cm="1">
        <f t="array" ref="O9">_xlfn.IFS(K9="Semi-annual",2,K9="Quarterly",4,K9="Annual",1,K9="Every 4 months",3,K9="Monthly",12)</f>
        <v>1</v>
      </c>
      <c r="P9" s="42">
        <f t="shared" si="3"/>
        <v>5</v>
      </c>
      <c r="Q9" s="42">
        <f t="shared" si="4"/>
        <v>101.5</v>
      </c>
      <c r="R9" s="51">
        <f t="shared" si="5"/>
        <v>0.18580231228393529</v>
      </c>
      <c r="S9" s="45">
        <f t="shared" si="6"/>
        <v>0.18580231228393529</v>
      </c>
      <c r="T9" s="42">
        <f t="shared" si="7"/>
        <v>4.0105175508347983</v>
      </c>
      <c r="U9" s="42">
        <f t="shared" si="8"/>
        <v>3.3821131138716289</v>
      </c>
    </row>
    <row r="10" spans="2:21" hidden="1" x14ac:dyDescent="0.25">
      <c r="B10" s="38" t="s">
        <v>34</v>
      </c>
      <c r="C10" s="39" t="s">
        <v>35</v>
      </c>
      <c r="D10" s="40">
        <v>45008</v>
      </c>
      <c r="E10" s="40">
        <v>46835</v>
      </c>
      <c r="F10" s="39">
        <v>1000</v>
      </c>
      <c r="G10" s="39">
        <v>618</v>
      </c>
      <c r="H10" s="39">
        <v>61.8</v>
      </c>
      <c r="I10" s="39">
        <v>40</v>
      </c>
      <c r="J10" s="41">
        <v>9.6500000000000002E-2</v>
      </c>
      <c r="K10" s="39" t="s">
        <v>21</v>
      </c>
      <c r="L10" s="3">
        <f t="shared" ca="1" si="0"/>
        <v>825</v>
      </c>
      <c r="M10" s="6">
        <f t="shared" si="1"/>
        <v>0.15614886731391586</v>
      </c>
      <c r="N10" s="50">
        <f t="shared" si="2"/>
        <v>5</v>
      </c>
      <c r="O10" s="42" cm="1">
        <f t="array" ref="O10">_xlfn.IFS(K10="Semi-annual",2,K10="Quarterly",4,K10="Annual",1,K10="Every 4 months",3,K10="Monthly",12)</f>
        <v>1</v>
      </c>
      <c r="P10" s="42">
        <f t="shared" si="3"/>
        <v>5</v>
      </c>
      <c r="Q10" s="42">
        <f t="shared" si="4"/>
        <v>96.5</v>
      </c>
      <c r="R10" s="51">
        <f t="shared" si="5"/>
        <v>0.23387412712237171</v>
      </c>
      <c r="S10" s="45">
        <f t="shared" si="6"/>
        <v>0.23387412712237171</v>
      </c>
      <c r="T10" s="42">
        <f t="shared" si="7"/>
        <v>3.9524834565175047</v>
      </c>
      <c r="U10" s="42">
        <f t="shared" si="8"/>
        <v>3.2033117233241977</v>
      </c>
    </row>
    <row r="11" spans="2:21" hidden="1" x14ac:dyDescent="0.25">
      <c r="B11" s="38" t="s">
        <v>38</v>
      </c>
      <c r="C11" s="39" t="s">
        <v>39</v>
      </c>
      <c r="D11" s="40">
        <v>45008</v>
      </c>
      <c r="E11" s="40">
        <v>46835</v>
      </c>
      <c r="F11" s="39">
        <v>1000</v>
      </c>
      <c r="G11" s="39">
        <v>603.79999999999995</v>
      </c>
      <c r="H11" s="39">
        <v>60.38</v>
      </c>
      <c r="I11" s="39">
        <v>200</v>
      </c>
      <c r="J11" s="41">
        <v>0.10150000000000001</v>
      </c>
      <c r="K11" s="39" t="s">
        <v>21</v>
      </c>
      <c r="L11" s="3">
        <f t="shared" ca="1" si="0"/>
        <v>825</v>
      </c>
      <c r="M11" s="6">
        <f t="shared" si="1"/>
        <v>0.16810202053660153</v>
      </c>
      <c r="N11" s="50">
        <f t="shared" si="2"/>
        <v>5</v>
      </c>
      <c r="O11" s="42" cm="1">
        <f t="array" ref="O11">_xlfn.IFS(K11="Semi-annual",2,K11="Quarterly",4,K11="Annual",1,K11="Every 4 months",3,K11="Monthly",12)</f>
        <v>1</v>
      </c>
      <c r="P11" s="42">
        <f t="shared" si="3"/>
        <v>5</v>
      </c>
      <c r="Q11" s="42">
        <f t="shared" si="4"/>
        <v>101.5</v>
      </c>
      <c r="R11" s="51">
        <f t="shared" si="5"/>
        <v>0.2483177950501973</v>
      </c>
      <c r="S11" s="45">
        <f t="shared" si="6"/>
        <v>0.2483177950501973</v>
      </c>
      <c r="T11" s="42">
        <f t="shared" si="7"/>
        <v>3.8956624990392865</v>
      </c>
      <c r="U11" s="42">
        <f t="shared" si="8"/>
        <v>3.1207297648774079</v>
      </c>
    </row>
    <row r="12" spans="2:21" hidden="1" x14ac:dyDescent="0.25">
      <c r="B12" s="38" t="s">
        <v>26</v>
      </c>
      <c r="C12" s="39" t="s">
        <v>27</v>
      </c>
      <c r="D12" s="40">
        <v>44959</v>
      </c>
      <c r="E12" s="40">
        <v>46785</v>
      </c>
      <c r="F12" s="39">
        <v>1000</v>
      </c>
      <c r="G12" s="39">
        <v>405</v>
      </c>
      <c r="H12" s="39">
        <v>40.5</v>
      </c>
      <c r="I12" s="39">
        <v>50</v>
      </c>
      <c r="J12" s="41">
        <v>0.10300000000000001</v>
      </c>
      <c r="K12" s="39" t="s">
        <v>21</v>
      </c>
      <c r="L12" s="3">
        <f t="shared" ca="1" si="0"/>
        <v>775</v>
      </c>
      <c r="M12" s="6">
        <f t="shared" si="1"/>
        <v>0.25432098765432104</v>
      </c>
      <c r="N12" s="50">
        <f t="shared" si="2"/>
        <v>5</v>
      </c>
      <c r="O12" s="42" cm="1">
        <f t="array" ref="O12">_xlfn.IFS(K12="Semi-annual",2,K12="Quarterly",4,K12="Annual",1,K12="Every 4 months",3,K12="Monthly",12)</f>
        <v>1</v>
      </c>
      <c r="P12" s="42">
        <f t="shared" si="3"/>
        <v>5</v>
      </c>
      <c r="Q12" s="42">
        <f t="shared" si="4"/>
        <v>103.00000000000001</v>
      </c>
      <c r="R12" s="51">
        <f t="shared" si="5"/>
        <v>0.39087622394758004</v>
      </c>
      <c r="S12" s="45">
        <f t="shared" si="6"/>
        <v>0.39087622394758004</v>
      </c>
      <c r="T12" s="42">
        <f t="shared" si="7"/>
        <v>3.6172185165481006</v>
      </c>
      <c r="U12" s="42">
        <f t="shared" si="8"/>
        <v>2.6006760733041534</v>
      </c>
    </row>
    <row r="13" spans="2:21" hidden="1" x14ac:dyDescent="0.25">
      <c r="B13" s="38" t="s">
        <v>98</v>
      </c>
      <c r="C13" s="39" t="s">
        <v>99</v>
      </c>
      <c r="D13" s="40">
        <v>44959</v>
      </c>
      <c r="E13" s="40">
        <v>46144</v>
      </c>
      <c r="F13" s="39">
        <v>1000</v>
      </c>
      <c r="G13" s="39">
        <v>1170</v>
      </c>
      <c r="H13" s="39">
        <v>117</v>
      </c>
      <c r="I13" s="39">
        <v>70</v>
      </c>
      <c r="J13" s="41">
        <v>9.6500000000000002E-2</v>
      </c>
      <c r="K13" s="39" t="s">
        <v>44</v>
      </c>
      <c r="L13" s="3">
        <f t="shared" ca="1" si="0"/>
        <v>134</v>
      </c>
      <c r="M13" s="6">
        <f t="shared" si="1"/>
        <v>8.2478632478632477E-2</v>
      </c>
      <c r="N13" s="50">
        <f t="shared" si="2"/>
        <v>3</v>
      </c>
      <c r="O13" s="42" cm="1">
        <f t="array" ref="O13">_xlfn.IFS(K13="Semi-annual",2,K13="Quarterly",4,K13="Annual",1,K13="Every 4 months",3,K13="Monthly",12)</f>
        <v>4</v>
      </c>
      <c r="P13" s="42">
        <f t="shared" si="3"/>
        <v>12</v>
      </c>
      <c r="Q13" s="42">
        <f t="shared" si="4"/>
        <v>24.125</v>
      </c>
      <c r="R13" s="51">
        <f t="shared" si="5"/>
        <v>9.1058997726313744E-3</v>
      </c>
      <c r="S13" s="45">
        <f t="shared" si="6"/>
        <v>3.6423599090525498E-2</v>
      </c>
      <c r="T13" s="42">
        <f t="shared" si="7"/>
        <v>2.8687856066281028</v>
      </c>
      <c r="U13" s="42">
        <f t="shared" si="8"/>
        <v>2.8428984582039294</v>
      </c>
    </row>
    <row r="14" spans="2:21" hidden="1" x14ac:dyDescent="0.25">
      <c r="B14" s="38" t="s">
        <v>91</v>
      </c>
      <c r="C14" s="39" t="s">
        <v>92</v>
      </c>
      <c r="D14" s="40">
        <v>45855</v>
      </c>
      <c r="E14" s="40">
        <v>46951</v>
      </c>
      <c r="F14" s="39">
        <v>1000</v>
      </c>
      <c r="G14" s="39">
        <v>1005.5</v>
      </c>
      <c r="H14" s="39">
        <v>100.55</v>
      </c>
      <c r="I14" s="39">
        <v>651</v>
      </c>
      <c r="J14" s="41">
        <v>9.1499999999999998E-2</v>
      </c>
      <c r="K14" s="39" t="s">
        <v>21</v>
      </c>
      <c r="L14" s="3">
        <f t="shared" ca="1" si="0"/>
        <v>941</v>
      </c>
      <c r="M14" s="6">
        <f t="shared" si="1"/>
        <v>9.099950273495773E-2</v>
      </c>
      <c r="N14" s="50">
        <f t="shared" si="2"/>
        <v>3</v>
      </c>
      <c r="O14" s="42" cm="1">
        <f t="array" ref="O14">_xlfn.IFS(K14="Semi-annual",2,K14="Quarterly",4,K14="Annual",1,K14="Every 4 months",3,K14="Monthly",12)</f>
        <v>1</v>
      </c>
      <c r="P14" s="42">
        <f t="shared" si="3"/>
        <v>3</v>
      </c>
      <c r="Q14" s="42">
        <f t="shared" si="4"/>
        <v>91.5</v>
      </c>
      <c r="R14" s="51">
        <f t="shared" si="5"/>
        <v>8.9329793667924262E-2</v>
      </c>
      <c r="S14" s="45">
        <f t="shared" si="6"/>
        <v>8.9329793667924262E-2</v>
      </c>
      <c r="T14" s="42">
        <f t="shared" si="7"/>
        <v>2.7562389703525745</v>
      </c>
      <c r="U14" s="42">
        <f t="shared" si="8"/>
        <v>2.530215354775101</v>
      </c>
    </row>
    <row r="15" spans="2:21" hidden="1" x14ac:dyDescent="0.25">
      <c r="B15" s="38" t="s">
        <v>81</v>
      </c>
      <c r="C15" s="39" t="s">
        <v>82</v>
      </c>
      <c r="D15" s="40">
        <v>45547</v>
      </c>
      <c r="E15" s="40">
        <v>46642</v>
      </c>
      <c r="F15" s="39">
        <v>1000</v>
      </c>
      <c r="G15" s="39">
        <v>1009</v>
      </c>
      <c r="H15" s="39">
        <v>100.899999999999</v>
      </c>
      <c r="I15" s="39">
        <v>1432</v>
      </c>
      <c r="J15" s="41">
        <v>9.6500000000000002E-2</v>
      </c>
      <c r="K15" s="39" t="s">
        <v>21</v>
      </c>
      <c r="L15" s="3">
        <f t="shared" ca="1" si="0"/>
        <v>632</v>
      </c>
      <c r="M15" s="6">
        <f t="shared" si="1"/>
        <v>9.5639246778989093E-2</v>
      </c>
      <c r="N15" s="50">
        <f t="shared" si="2"/>
        <v>3</v>
      </c>
      <c r="O15" s="42" cm="1">
        <f t="array" ref="O15">_xlfn.IFS(K15="Semi-annual",2,K15="Quarterly",4,K15="Annual",1,K15="Every 4 months",3,K15="Monthly",12)</f>
        <v>1</v>
      </c>
      <c r="P15" s="42">
        <f t="shared" si="3"/>
        <v>3</v>
      </c>
      <c r="Q15" s="42">
        <f t="shared" si="4"/>
        <v>96.5</v>
      </c>
      <c r="R15" s="51">
        <f t="shared" si="5"/>
        <v>9.2925951472983562E-2</v>
      </c>
      <c r="S15" s="45">
        <f t="shared" si="6"/>
        <v>9.2925951472983562E-2</v>
      </c>
      <c r="T15" s="42">
        <f t="shared" si="7"/>
        <v>2.7449177414168373</v>
      </c>
      <c r="U15" s="42">
        <f t="shared" si="8"/>
        <v>2.511531305224652</v>
      </c>
    </row>
    <row r="16" spans="2:21" hidden="1" x14ac:dyDescent="0.25">
      <c r="B16" s="38" t="s">
        <v>73</v>
      </c>
      <c r="C16" s="39" t="s">
        <v>74</v>
      </c>
      <c r="D16" s="40">
        <v>45796</v>
      </c>
      <c r="E16" s="40">
        <v>46892</v>
      </c>
      <c r="F16" s="39">
        <v>1000</v>
      </c>
      <c r="G16" s="39">
        <v>1000</v>
      </c>
      <c r="H16" s="39">
        <v>100</v>
      </c>
      <c r="I16" s="39">
        <v>511</v>
      </c>
      <c r="J16" s="41">
        <v>9.6500000000000002E-2</v>
      </c>
      <c r="K16" s="39" t="s">
        <v>21</v>
      </c>
      <c r="L16" s="3">
        <f t="shared" ca="1" si="0"/>
        <v>882</v>
      </c>
      <c r="M16" s="6">
        <f t="shared" si="1"/>
        <v>9.6500000000000002E-2</v>
      </c>
      <c r="N16" s="50">
        <f t="shared" si="2"/>
        <v>3</v>
      </c>
      <c r="O16" s="42" cm="1">
        <f t="array" ref="O16">_xlfn.IFS(K16="Semi-annual",2,K16="Quarterly",4,K16="Annual",1,K16="Every 4 months",3,K16="Monthly",12)</f>
        <v>1</v>
      </c>
      <c r="P16" s="42">
        <f t="shared" si="3"/>
        <v>3</v>
      </c>
      <c r="Q16" s="42">
        <f t="shared" si="4"/>
        <v>96.5</v>
      </c>
      <c r="R16" s="51">
        <f t="shared" si="5"/>
        <v>9.6500000000966715E-2</v>
      </c>
      <c r="S16" s="45">
        <f t="shared" si="6"/>
        <v>9.6500000000966715E-2</v>
      </c>
      <c r="T16" s="42">
        <f t="shared" si="7"/>
        <v>2.743723396313738</v>
      </c>
      <c r="U16" s="42">
        <f t="shared" si="8"/>
        <v>2.5022557193901678</v>
      </c>
    </row>
    <row r="17" spans="2:21" hidden="1" x14ac:dyDescent="0.25">
      <c r="B17" s="38" t="s">
        <v>85</v>
      </c>
      <c r="C17" s="39" t="s">
        <v>86</v>
      </c>
      <c r="D17" s="40">
        <v>45750</v>
      </c>
      <c r="E17" s="40">
        <v>46846</v>
      </c>
      <c r="F17" s="39">
        <v>1000</v>
      </c>
      <c r="G17" s="39">
        <v>1020.4</v>
      </c>
      <c r="H17" s="39">
        <v>102.039999999999</v>
      </c>
      <c r="I17" s="39">
        <v>100</v>
      </c>
      <c r="J17" s="41">
        <v>0.1</v>
      </c>
      <c r="K17" s="39" t="s">
        <v>21</v>
      </c>
      <c r="L17" s="3">
        <f t="shared" ca="1" si="0"/>
        <v>836</v>
      </c>
      <c r="M17" s="6">
        <f t="shared" si="1"/>
        <v>9.8000784006272046E-2</v>
      </c>
      <c r="N17" s="50">
        <f t="shared" si="2"/>
        <v>3</v>
      </c>
      <c r="O17" s="42" cm="1">
        <f t="array" ref="O17">_xlfn.IFS(K17="Semi-annual",2,K17="Quarterly",4,K17="Annual",1,K17="Every 4 months",3,K17="Monthly",12)</f>
        <v>1</v>
      </c>
      <c r="P17" s="42">
        <f t="shared" si="3"/>
        <v>3</v>
      </c>
      <c r="Q17" s="42">
        <f t="shared" si="4"/>
        <v>100</v>
      </c>
      <c r="R17" s="51">
        <f t="shared" si="5"/>
        <v>9.1913386287083385E-2</v>
      </c>
      <c r="S17" s="45">
        <f t="shared" si="6"/>
        <v>9.1913386287083385E-2</v>
      </c>
      <c r="T17" s="42">
        <f t="shared" si="7"/>
        <v>2.7383006765224467</v>
      </c>
      <c r="U17" s="42">
        <f t="shared" si="8"/>
        <v>2.5078002622842641</v>
      </c>
    </row>
    <row r="18" spans="2:21" hidden="1" x14ac:dyDescent="0.25">
      <c r="B18" s="38" t="s">
        <v>63</v>
      </c>
      <c r="C18" s="39" t="s">
        <v>64</v>
      </c>
      <c r="D18" s="40">
        <v>45377</v>
      </c>
      <c r="E18" s="40">
        <v>46472</v>
      </c>
      <c r="F18" s="39">
        <v>1000</v>
      </c>
      <c r="G18" s="39">
        <v>999.8</v>
      </c>
      <c r="H18" s="39">
        <v>99.979999999999905</v>
      </c>
      <c r="I18" s="39">
        <v>46</v>
      </c>
      <c r="J18" s="41">
        <v>9.9000000000000005E-2</v>
      </c>
      <c r="K18" s="39" t="s">
        <v>21</v>
      </c>
      <c r="L18" s="3">
        <f t="shared" ca="1" si="0"/>
        <v>462</v>
      </c>
      <c r="M18" s="6">
        <f t="shared" si="1"/>
        <v>9.9019803960792158E-2</v>
      </c>
      <c r="N18" s="50">
        <f t="shared" si="2"/>
        <v>3</v>
      </c>
      <c r="O18" s="42" cm="1">
        <f t="array" ref="O18">_xlfn.IFS(K18="Semi-annual",2,K18="Quarterly",4,K18="Annual",1,K18="Every 4 months",3,K18="Monthly",12)</f>
        <v>1</v>
      </c>
      <c r="P18" s="42">
        <f t="shared" si="3"/>
        <v>3</v>
      </c>
      <c r="Q18" s="42">
        <f t="shared" si="4"/>
        <v>99</v>
      </c>
      <c r="R18" s="51">
        <f t="shared" si="5"/>
        <v>9.9080292776277182E-2</v>
      </c>
      <c r="S18" s="45">
        <f t="shared" si="6"/>
        <v>9.9080292776277182E-2</v>
      </c>
      <c r="T18" s="42">
        <f t="shared" si="7"/>
        <v>2.7378417753259394</v>
      </c>
      <c r="U18" s="42">
        <f t="shared" si="8"/>
        <v>2.49102981221704</v>
      </c>
    </row>
    <row r="19" spans="2:21" hidden="1" x14ac:dyDescent="0.25">
      <c r="B19" s="38" t="s">
        <v>79</v>
      </c>
      <c r="C19" s="39" t="s">
        <v>80</v>
      </c>
      <c r="D19" s="40">
        <v>45464</v>
      </c>
      <c r="E19" s="40">
        <v>46559</v>
      </c>
      <c r="F19" s="39">
        <v>1000</v>
      </c>
      <c r="G19" s="39">
        <v>1015.99</v>
      </c>
      <c r="H19" s="39">
        <v>101.59899999999899</v>
      </c>
      <c r="I19" s="39">
        <v>124</v>
      </c>
      <c r="J19" s="41">
        <v>0.1</v>
      </c>
      <c r="K19" s="39" t="s">
        <v>21</v>
      </c>
      <c r="L19" s="3">
        <f t="shared" ca="1" si="0"/>
        <v>549</v>
      </c>
      <c r="M19" s="6">
        <f t="shared" si="1"/>
        <v>9.8426165611866262E-2</v>
      </c>
      <c r="N19" s="50">
        <f t="shared" si="2"/>
        <v>3</v>
      </c>
      <c r="O19" s="42" cm="1">
        <f t="array" ref="O19">_xlfn.IFS(K19="Semi-annual",2,K19="Quarterly",4,K19="Annual",1,K19="Every 4 months",3,K19="Monthly",12)</f>
        <v>1</v>
      </c>
      <c r="P19" s="42">
        <f t="shared" si="3"/>
        <v>3</v>
      </c>
      <c r="Q19" s="42">
        <f t="shared" si="4"/>
        <v>100</v>
      </c>
      <c r="R19" s="51">
        <f t="shared" si="5"/>
        <v>9.364203083573501E-2</v>
      </c>
      <c r="S19" s="45">
        <f t="shared" si="6"/>
        <v>9.364203083573501E-2</v>
      </c>
      <c r="T19" s="42">
        <f t="shared" si="7"/>
        <v>2.7377104715798</v>
      </c>
      <c r="U19" s="42">
        <f t="shared" si="8"/>
        <v>2.5032966861082571</v>
      </c>
    </row>
    <row r="20" spans="2:21" hidden="1" x14ac:dyDescent="0.25">
      <c r="B20" s="38" t="s">
        <v>89</v>
      </c>
      <c r="C20" s="39" t="s">
        <v>90</v>
      </c>
      <c r="D20" s="40">
        <v>45644</v>
      </c>
      <c r="E20" s="40">
        <v>46738</v>
      </c>
      <c r="F20" s="39">
        <v>100000</v>
      </c>
      <c r="G20" s="39">
        <v>102615</v>
      </c>
      <c r="H20" s="39">
        <v>102.61499999999999</v>
      </c>
      <c r="I20" s="39">
        <v>4900</v>
      </c>
      <c r="J20" s="41">
        <v>0.1</v>
      </c>
      <c r="K20" s="39" t="s">
        <v>21</v>
      </c>
      <c r="L20" s="3">
        <f t="shared" ca="1" si="0"/>
        <v>728</v>
      </c>
      <c r="M20" s="6">
        <f t="shared" si="1"/>
        <v>9.7451639623836669E-2</v>
      </c>
      <c r="N20" s="50">
        <f t="shared" si="2"/>
        <v>3</v>
      </c>
      <c r="O20" s="42" cm="1">
        <f t="array" ref="O20">_xlfn.IFS(K20="Semi-annual",2,K20="Quarterly",4,K20="Annual",1,K20="Every 4 months",3,K20="Monthly",12)</f>
        <v>1</v>
      </c>
      <c r="P20" s="42">
        <f t="shared" si="3"/>
        <v>3</v>
      </c>
      <c r="Q20" s="42">
        <f t="shared" si="4"/>
        <v>10000</v>
      </c>
      <c r="R20" s="51">
        <f t="shared" si="5"/>
        <v>8.9675295864752494E-2</v>
      </c>
      <c r="S20" s="45">
        <f t="shared" si="6"/>
        <v>8.9675295864752494E-2</v>
      </c>
      <c r="T20" s="42">
        <f t="shared" si="7"/>
        <v>2.7362866063850793</v>
      </c>
      <c r="U20" s="42">
        <f t="shared" si="8"/>
        <v>2.5111027264443919</v>
      </c>
    </row>
    <row r="21" spans="2:21" hidden="1" x14ac:dyDescent="0.25">
      <c r="B21" s="38" t="s">
        <v>75</v>
      </c>
      <c r="C21" s="39" t="s">
        <v>76</v>
      </c>
      <c r="D21" s="40">
        <v>45511</v>
      </c>
      <c r="E21" s="40">
        <v>46606</v>
      </c>
      <c r="F21" s="39">
        <v>1000</v>
      </c>
      <c r="G21" s="39">
        <v>1017.7</v>
      </c>
      <c r="H21" s="39">
        <v>101.77</v>
      </c>
      <c r="I21" s="39">
        <v>100</v>
      </c>
      <c r="J21" s="41">
        <v>0.10199999999999999</v>
      </c>
      <c r="K21" s="39" t="s">
        <v>21</v>
      </c>
      <c r="L21" s="3">
        <f t="shared" ca="1" si="0"/>
        <v>596</v>
      </c>
      <c r="M21" s="6">
        <f t="shared" si="1"/>
        <v>0.10022599980347843</v>
      </c>
      <c r="N21" s="50">
        <f t="shared" si="2"/>
        <v>3</v>
      </c>
      <c r="O21" s="42" cm="1">
        <f t="array" ref="O21">_xlfn.IFS(K21="Semi-annual",2,K21="Quarterly",4,K21="Annual",1,K21="Every 4 months",3,K21="Monthly",12)</f>
        <v>1</v>
      </c>
      <c r="P21" s="42">
        <f t="shared" si="3"/>
        <v>3</v>
      </c>
      <c r="Q21" s="42">
        <f t="shared" si="4"/>
        <v>102</v>
      </c>
      <c r="R21" s="51">
        <f t="shared" si="5"/>
        <v>9.4945811732574756E-2</v>
      </c>
      <c r="S21" s="45">
        <f t="shared" si="6"/>
        <v>9.4945811732574756E-2</v>
      </c>
      <c r="T21" s="42">
        <f t="shared" si="7"/>
        <v>2.7333318966975959</v>
      </c>
      <c r="U21" s="42">
        <f t="shared" si="8"/>
        <v>2.4963170482131347</v>
      </c>
    </row>
    <row r="22" spans="2:21" hidden="1" x14ac:dyDescent="0.25">
      <c r="B22" s="38" t="s">
        <v>30</v>
      </c>
      <c r="C22" s="39" t="s">
        <v>31</v>
      </c>
      <c r="D22" s="40">
        <v>45735</v>
      </c>
      <c r="E22" s="40">
        <v>46831</v>
      </c>
      <c r="F22" s="39">
        <v>1000</v>
      </c>
      <c r="G22" s="39">
        <v>925</v>
      </c>
      <c r="H22" s="39">
        <v>92.5</v>
      </c>
      <c r="I22" s="39">
        <v>100</v>
      </c>
      <c r="J22" s="41">
        <v>9.9000000000000005E-2</v>
      </c>
      <c r="K22" s="39" t="s">
        <v>21</v>
      </c>
      <c r="L22" s="3">
        <f t="shared" ca="1" si="0"/>
        <v>821</v>
      </c>
      <c r="M22" s="6">
        <f t="shared" si="1"/>
        <v>0.10702702702702703</v>
      </c>
      <c r="N22" s="50">
        <f t="shared" si="2"/>
        <v>3</v>
      </c>
      <c r="O22" s="42" cm="1">
        <f t="array" ref="O22">_xlfn.IFS(K22="Semi-annual",2,K22="Quarterly",4,K22="Annual",1,K22="Every 4 months",3,K22="Monthly",12)</f>
        <v>1</v>
      </c>
      <c r="P22" s="42">
        <f t="shared" si="3"/>
        <v>3</v>
      </c>
      <c r="Q22" s="42">
        <f t="shared" si="4"/>
        <v>99</v>
      </c>
      <c r="R22" s="51">
        <f t="shared" si="5"/>
        <v>0.13080772118680353</v>
      </c>
      <c r="S22" s="45">
        <f t="shared" si="6"/>
        <v>0.13080772118680353</v>
      </c>
      <c r="T22" s="42">
        <f t="shared" si="7"/>
        <v>2.7270087757834887</v>
      </c>
      <c r="U22" s="42">
        <f t="shared" si="8"/>
        <v>2.4115583265751339</v>
      </c>
    </row>
    <row r="23" spans="2:21" hidden="1" x14ac:dyDescent="0.25">
      <c r="B23" s="38" t="s">
        <v>61</v>
      </c>
      <c r="C23" s="39" t="s">
        <v>62</v>
      </c>
      <c r="D23" s="40">
        <v>45125</v>
      </c>
      <c r="E23" s="40">
        <v>46221</v>
      </c>
      <c r="F23" s="39">
        <v>1000</v>
      </c>
      <c r="G23" s="39">
        <v>1027</v>
      </c>
      <c r="H23" s="39">
        <v>102.69999999999899</v>
      </c>
      <c r="I23" s="39">
        <v>40</v>
      </c>
      <c r="J23" s="41">
        <v>0.11019999999999999</v>
      </c>
      <c r="K23" s="39" t="s">
        <v>21</v>
      </c>
      <c r="L23" s="3">
        <f t="shared" ca="1" si="0"/>
        <v>211</v>
      </c>
      <c r="M23" s="6">
        <f t="shared" si="1"/>
        <v>0.10730282375851995</v>
      </c>
      <c r="N23" s="50">
        <f t="shared" si="2"/>
        <v>3</v>
      </c>
      <c r="O23" s="42" cm="1">
        <f t="array" ref="O23">_xlfn.IFS(K23="Semi-annual",2,K23="Quarterly",4,K23="Annual",1,K23="Every 4 months",3,K23="Monthly",12)</f>
        <v>1</v>
      </c>
      <c r="P23" s="42">
        <f t="shared" si="3"/>
        <v>3</v>
      </c>
      <c r="Q23" s="42">
        <f t="shared" si="4"/>
        <v>110.19999999999999</v>
      </c>
      <c r="R23" s="51">
        <f t="shared" si="5"/>
        <v>9.9355222423488293E-2</v>
      </c>
      <c r="S23" s="45">
        <f t="shared" si="6"/>
        <v>9.9355222423488293E-2</v>
      </c>
      <c r="T23" s="42">
        <f t="shared" si="7"/>
        <v>2.7160054592260905</v>
      </c>
      <c r="U23" s="42">
        <f t="shared" si="8"/>
        <v>2.4705440096411748</v>
      </c>
    </row>
    <row r="24" spans="2:21" hidden="1" x14ac:dyDescent="0.25">
      <c r="B24" s="38" t="s">
        <v>83</v>
      </c>
      <c r="C24" s="39" t="s">
        <v>84</v>
      </c>
      <c r="D24" s="40">
        <v>45287</v>
      </c>
      <c r="E24" s="40">
        <v>46383</v>
      </c>
      <c r="F24" s="39">
        <v>1000</v>
      </c>
      <c r="G24" s="39">
        <v>1001</v>
      </c>
      <c r="H24" s="39">
        <v>100.1</v>
      </c>
      <c r="I24" s="39">
        <v>35</v>
      </c>
      <c r="J24" s="41">
        <v>9.3000000000000013E-2</v>
      </c>
      <c r="K24" s="39" t="s">
        <v>44</v>
      </c>
      <c r="L24" s="3">
        <f t="shared" ca="1" si="0"/>
        <v>373</v>
      </c>
      <c r="M24" s="6">
        <f t="shared" si="1"/>
        <v>9.2907092907092925E-2</v>
      </c>
      <c r="N24" s="50">
        <f t="shared" si="2"/>
        <v>3</v>
      </c>
      <c r="O24" s="42" cm="1">
        <f t="array" ref="O24">_xlfn.IFS(K24="Semi-annual",2,K24="Quarterly",4,K24="Annual",1,K24="Every 4 months",3,K24="Monthly",12)</f>
        <v>4</v>
      </c>
      <c r="P24" s="42">
        <f t="shared" si="3"/>
        <v>12</v>
      </c>
      <c r="Q24" s="42">
        <f t="shared" si="4"/>
        <v>23.250000000000004</v>
      </c>
      <c r="R24" s="51">
        <f t="shared" si="5"/>
        <v>2.315359950205249E-2</v>
      </c>
      <c r="S24" s="45">
        <f t="shared" si="6"/>
        <v>9.2614398008209961E-2</v>
      </c>
      <c r="T24" s="42">
        <f t="shared" si="7"/>
        <v>2.6522975284523098</v>
      </c>
      <c r="U24" s="42">
        <f t="shared" si="8"/>
        <v>2.5922769853354648</v>
      </c>
    </row>
    <row r="25" spans="2:21" hidden="1" x14ac:dyDescent="0.25">
      <c r="B25" s="38" t="s">
        <v>71</v>
      </c>
      <c r="C25" s="39" t="s">
        <v>72</v>
      </c>
      <c r="D25" s="40">
        <v>45560</v>
      </c>
      <c r="E25" s="40">
        <v>46655</v>
      </c>
      <c r="F25" s="39">
        <v>1000</v>
      </c>
      <c r="G25" s="39">
        <v>1014.29</v>
      </c>
      <c r="H25" s="39">
        <v>101.42899999999899</v>
      </c>
      <c r="I25" s="39">
        <v>225</v>
      </c>
      <c r="J25" s="41">
        <v>0.10300000000000001</v>
      </c>
      <c r="K25" s="39" t="s">
        <v>44</v>
      </c>
      <c r="L25" s="3">
        <f t="shared" ca="1" si="0"/>
        <v>645</v>
      </c>
      <c r="M25" s="6">
        <f t="shared" si="1"/>
        <v>0.10154886669492948</v>
      </c>
      <c r="N25" s="50">
        <f t="shared" si="2"/>
        <v>3</v>
      </c>
      <c r="O25" s="42" cm="1">
        <f t="array" ref="O25">_xlfn.IFS(K25="Semi-annual",2,K25="Quarterly",4,K25="Annual",1,K25="Every 4 months",3,K25="Monthly",12)</f>
        <v>4</v>
      </c>
      <c r="P25" s="42">
        <f t="shared" si="3"/>
        <v>12</v>
      </c>
      <c r="Q25" s="42">
        <f t="shared" si="4"/>
        <v>25.750000000000004</v>
      </c>
      <c r="R25" s="51">
        <f t="shared" si="5"/>
        <v>2.4362282523116598E-2</v>
      </c>
      <c r="S25" s="45">
        <f t="shared" si="6"/>
        <v>9.7449130092466391E-2</v>
      </c>
      <c r="T25" s="42">
        <f t="shared" si="7"/>
        <v>2.6218209621620607</v>
      </c>
      <c r="U25" s="42">
        <f t="shared" si="8"/>
        <v>2.5594665157957865</v>
      </c>
    </row>
    <row r="26" spans="2:21" hidden="1" x14ac:dyDescent="0.25">
      <c r="B26" s="38" t="s">
        <v>55</v>
      </c>
      <c r="C26" s="39" t="s">
        <v>56</v>
      </c>
      <c r="D26" s="40">
        <v>44959</v>
      </c>
      <c r="E26" s="40">
        <v>46055</v>
      </c>
      <c r="F26" s="39">
        <v>1000</v>
      </c>
      <c r="G26" s="39">
        <v>400.8</v>
      </c>
      <c r="H26" s="39">
        <v>40.08</v>
      </c>
      <c r="I26" s="39">
        <v>10</v>
      </c>
      <c r="J26" s="41">
        <v>0.10050000000000001</v>
      </c>
      <c r="K26" s="39" t="s">
        <v>21</v>
      </c>
      <c r="L26" s="3">
        <f t="shared" ca="1" si="0"/>
        <v>45</v>
      </c>
      <c r="M26" s="6">
        <f t="shared" si="1"/>
        <v>0.25074850299401197</v>
      </c>
      <c r="N26" s="50">
        <f t="shared" si="2"/>
        <v>3</v>
      </c>
      <c r="O26" s="42" cm="1">
        <f t="array" ref="O26">_xlfn.IFS(K26="Semi-annual",2,K26="Quarterly",4,K26="Annual",1,K26="Every 4 months",3,K26="Monthly",12)</f>
        <v>1</v>
      </c>
      <c r="P26" s="42">
        <f t="shared" si="3"/>
        <v>3</v>
      </c>
      <c r="Q26" s="42">
        <f t="shared" si="4"/>
        <v>100.5</v>
      </c>
      <c r="R26" s="51">
        <f t="shared" si="5"/>
        <v>0.5520952767503059</v>
      </c>
      <c r="S26" s="45">
        <f t="shared" si="6"/>
        <v>0.5520952767503059</v>
      </c>
      <c r="T26" s="42">
        <f t="shared" si="7"/>
        <v>2.5728020984229345</v>
      </c>
      <c r="U26" s="42">
        <f t="shared" si="8"/>
        <v>1.6576315494044478</v>
      </c>
    </row>
    <row r="27" spans="2:21" hidden="1" x14ac:dyDescent="0.25">
      <c r="B27" s="38" t="s">
        <v>32</v>
      </c>
      <c r="C27" s="39" t="s">
        <v>33</v>
      </c>
      <c r="D27" s="40">
        <v>45008</v>
      </c>
      <c r="E27" s="40">
        <v>46104</v>
      </c>
      <c r="F27" s="39">
        <v>1000</v>
      </c>
      <c r="G27" s="39">
        <v>331.1</v>
      </c>
      <c r="H27" s="39">
        <v>33.11</v>
      </c>
      <c r="I27" s="39">
        <v>11</v>
      </c>
      <c r="J27" s="41">
        <v>9.9000000000000005E-2</v>
      </c>
      <c r="K27" s="39" t="s">
        <v>21</v>
      </c>
      <c r="L27" s="3">
        <f t="shared" ca="1" si="0"/>
        <v>94</v>
      </c>
      <c r="M27" s="6">
        <f t="shared" si="1"/>
        <v>0.29900332225913617</v>
      </c>
      <c r="N27" s="50">
        <f t="shared" si="2"/>
        <v>3</v>
      </c>
      <c r="O27" s="42" cm="1">
        <f t="array" ref="O27">_xlfn.IFS(K27="Semi-annual",2,K27="Quarterly",4,K27="Annual",1,K27="Every 4 months",3,K27="Monthly",12)</f>
        <v>1</v>
      </c>
      <c r="P27" s="42">
        <f t="shared" si="3"/>
        <v>3</v>
      </c>
      <c r="Q27" s="42">
        <f t="shared" si="4"/>
        <v>99</v>
      </c>
      <c r="R27" s="51">
        <f t="shared" si="5"/>
        <v>0.66929261215648705</v>
      </c>
      <c r="S27" s="45">
        <f t="shared" si="6"/>
        <v>0.66929261215648705</v>
      </c>
      <c r="T27" s="42">
        <f t="shared" si="7"/>
        <v>2.5344576397509075</v>
      </c>
      <c r="U27" s="42">
        <f t="shared" si="8"/>
        <v>1.5182824277145461</v>
      </c>
    </row>
    <row r="28" spans="2:21" hidden="1" x14ac:dyDescent="0.25">
      <c r="B28" s="38" t="s">
        <v>93</v>
      </c>
      <c r="C28" s="39" t="s">
        <v>94</v>
      </c>
      <c r="D28" s="40">
        <v>45364</v>
      </c>
      <c r="E28" s="40">
        <v>46186</v>
      </c>
      <c r="F28" s="39">
        <v>1000</v>
      </c>
      <c r="G28" s="39">
        <v>1035.3499999999999</v>
      </c>
      <c r="H28" s="39">
        <v>103.535</v>
      </c>
      <c r="I28" s="39">
        <v>25</v>
      </c>
      <c r="J28" s="41">
        <v>0.109</v>
      </c>
      <c r="K28" s="39" t="s">
        <v>21</v>
      </c>
      <c r="L28" s="3">
        <f t="shared" ca="1" si="0"/>
        <v>176</v>
      </c>
      <c r="M28" s="6">
        <f t="shared" si="1"/>
        <v>0.10527840826773556</v>
      </c>
      <c r="N28" s="50">
        <f t="shared" si="2"/>
        <v>2</v>
      </c>
      <c r="O28" s="42" cm="1">
        <f t="array" ref="O28">_xlfn.IFS(K28="Semi-annual",2,K28="Quarterly",4,K28="Annual",1,K28="Every 4 months",3,K28="Monthly",12)</f>
        <v>1</v>
      </c>
      <c r="P28" s="42">
        <f t="shared" si="3"/>
        <v>2</v>
      </c>
      <c r="Q28" s="42">
        <f t="shared" si="4"/>
        <v>109</v>
      </c>
      <c r="R28" s="51">
        <f t="shared" si="5"/>
        <v>8.893368480252041E-2</v>
      </c>
      <c r="S28" s="45">
        <f t="shared" si="6"/>
        <v>8.893368480252041E-2</v>
      </c>
      <c r="T28" s="42">
        <f t="shared" si="7"/>
        <v>1.9720274191659619</v>
      </c>
      <c r="U28" s="42">
        <f t="shared" si="8"/>
        <v>1.8109710873014198</v>
      </c>
    </row>
    <row r="29" spans="2:21" hidden="1" x14ac:dyDescent="0.25">
      <c r="B29" s="38" t="s">
        <v>87</v>
      </c>
      <c r="C29" s="39" t="s">
        <v>88</v>
      </c>
      <c r="D29" s="40">
        <v>45712</v>
      </c>
      <c r="E29" s="40">
        <v>46493</v>
      </c>
      <c r="F29" s="39">
        <v>10000</v>
      </c>
      <c r="G29" s="39">
        <v>10159</v>
      </c>
      <c r="H29" s="39">
        <v>101.59</v>
      </c>
      <c r="I29" s="39">
        <v>50</v>
      </c>
      <c r="J29" s="41">
        <v>9.8599999999999993E-2</v>
      </c>
      <c r="K29" s="39" t="s">
        <v>44</v>
      </c>
      <c r="L29" s="3">
        <f t="shared" ca="1" si="0"/>
        <v>483</v>
      </c>
      <c r="M29" s="6">
        <f t="shared" si="1"/>
        <v>9.7056796928831568E-2</v>
      </c>
      <c r="N29" s="50">
        <f t="shared" si="2"/>
        <v>2</v>
      </c>
      <c r="O29" s="42" cm="1">
        <f t="array" ref="O29">_xlfn.IFS(K29="Semi-annual",2,K29="Quarterly",4,K29="Annual",1,K29="Every 4 months",3,K29="Monthly",12)</f>
        <v>4</v>
      </c>
      <c r="P29" s="42">
        <f t="shared" si="3"/>
        <v>8</v>
      </c>
      <c r="Q29" s="42">
        <f t="shared" si="4"/>
        <v>246.49999999999997</v>
      </c>
      <c r="R29" s="51">
        <f t="shared" si="5"/>
        <v>2.2456454104377962E-2</v>
      </c>
      <c r="S29" s="45">
        <f t="shared" si="6"/>
        <v>8.9825816417511847E-2</v>
      </c>
      <c r="T29" s="42">
        <f t="shared" si="7"/>
        <v>1.9418139300153652</v>
      </c>
      <c r="U29" s="42">
        <f t="shared" si="8"/>
        <v>1.8991654091677672</v>
      </c>
    </row>
    <row r="30" spans="2:21" hidden="1" x14ac:dyDescent="0.25">
      <c r="B30" s="38" t="s">
        <v>45</v>
      </c>
      <c r="C30" s="39" t="s">
        <v>46</v>
      </c>
      <c r="D30" s="40">
        <v>45870</v>
      </c>
      <c r="E30" s="40">
        <v>46600</v>
      </c>
      <c r="F30" s="39">
        <v>1000</v>
      </c>
      <c r="G30" s="39">
        <v>951.2</v>
      </c>
      <c r="H30" s="39">
        <v>95.12</v>
      </c>
      <c r="I30" s="39">
        <v>110</v>
      </c>
      <c r="J30" s="41">
        <v>0.09</v>
      </c>
      <c r="K30" s="39" t="s">
        <v>21</v>
      </c>
      <c r="L30" s="3">
        <f t="shared" ca="1" si="0"/>
        <v>590</v>
      </c>
      <c r="M30" s="6">
        <f t="shared" si="1"/>
        <v>9.4617325483599662E-2</v>
      </c>
      <c r="N30" s="50">
        <f t="shared" si="2"/>
        <v>2</v>
      </c>
      <c r="O30" s="42" cm="1">
        <f t="array" ref="O30">_xlfn.IFS(K30="Semi-annual",2,K30="Quarterly",4,K30="Annual",1,K30="Every 4 months",3,K30="Monthly",12)</f>
        <v>1</v>
      </c>
      <c r="P30" s="42">
        <f t="shared" si="3"/>
        <v>2</v>
      </c>
      <c r="Q30" s="42">
        <f t="shared" si="4"/>
        <v>90</v>
      </c>
      <c r="R30" s="51">
        <f t="shared" si="5"/>
        <v>0.11883050178123716</v>
      </c>
      <c r="S30" s="45">
        <f t="shared" si="6"/>
        <v>0.11883050178123716</v>
      </c>
      <c r="T30" s="42">
        <f t="shared" si="7"/>
        <v>1.9154319395717545</v>
      </c>
      <c r="U30" s="42">
        <f t="shared" si="8"/>
        <v>1.7119947449790525</v>
      </c>
    </row>
    <row r="31" spans="2:21" hidden="1" x14ac:dyDescent="0.25">
      <c r="B31" s="38" t="s">
        <v>65</v>
      </c>
      <c r="C31" s="39" t="s">
        <v>66</v>
      </c>
      <c r="D31" s="40">
        <v>45854</v>
      </c>
      <c r="E31" s="40">
        <v>46584</v>
      </c>
      <c r="F31" s="39">
        <v>1000</v>
      </c>
      <c r="G31" s="39">
        <v>990</v>
      </c>
      <c r="H31" s="39">
        <v>99</v>
      </c>
      <c r="I31" s="39">
        <v>50</v>
      </c>
      <c r="J31" s="41">
        <v>9.1999999999999998E-2</v>
      </c>
      <c r="K31" s="39" t="s">
        <v>21</v>
      </c>
      <c r="L31" s="3">
        <f t="shared" ca="1" si="0"/>
        <v>574</v>
      </c>
      <c r="M31" s="6">
        <f t="shared" si="1"/>
        <v>9.2929292929292931E-2</v>
      </c>
      <c r="N31" s="50">
        <f t="shared" si="2"/>
        <v>2</v>
      </c>
      <c r="O31" s="42" cm="1">
        <f t="array" ref="O31">_xlfn.IFS(K31="Semi-annual",2,K31="Quarterly",4,K31="Annual",1,K31="Every 4 months",3,K31="Monthly",12)</f>
        <v>1</v>
      </c>
      <c r="P31" s="42">
        <f t="shared" si="3"/>
        <v>2</v>
      </c>
      <c r="Q31" s="42">
        <f t="shared" si="4"/>
        <v>92</v>
      </c>
      <c r="R31" s="51">
        <f t="shared" si="5"/>
        <v>9.7744469538125961E-2</v>
      </c>
      <c r="S31" s="45">
        <f t="shared" si="6"/>
        <v>9.7744469538125961E-2</v>
      </c>
      <c r="T31" s="42">
        <f t="shared" si="7"/>
        <v>1.9153452415311243</v>
      </c>
      <c r="U31" s="42">
        <f t="shared" si="8"/>
        <v>1.7448006295463301</v>
      </c>
    </row>
    <row r="32" spans="2:21" hidden="1" x14ac:dyDescent="0.25">
      <c r="B32" s="38" t="s">
        <v>77</v>
      </c>
      <c r="C32" s="39" t="s">
        <v>78</v>
      </c>
      <c r="D32" s="40">
        <v>45777</v>
      </c>
      <c r="E32" s="40">
        <v>46507</v>
      </c>
      <c r="F32" s="39">
        <v>1000</v>
      </c>
      <c r="G32" s="39">
        <v>1001.31</v>
      </c>
      <c r="H32" s="39">
        <v>100.13099999999901</v>
      </c>
      <c r="I32" s="39">
        <v>100</v>
      </c>
      <c r="J32" s="41">
        <v>9.5000000000000001E-2</v>
      </c>
      <c r="K32" s="39" t="s">
        <v>21</v>
      </c>
      <c r="L32" s="3">
        <f t="shared" ca="1" si="0"/>
        <v>497</v>
      </c>
      <c r="M32" s="6">
        <f t="shared" si="1"/>
        <v>9.4875712816210767E-2</v>
      </c>
      <c r="N32" s="50">
        <f t="shared" si="2"/>
        <v>2</v>
      </c>
      <c r="O32" s="42" cm="1">
        <f t="array" ref="O32">_xlfn.IFS(K32="Semi-annual",2,K32="Quarterly",4,K32="Annual",1,K32="Every 4 months",3,K32="Monthly",12)</f>
        <v>1</v>
      </c>
      <c r="P32" s="42">
        <f t="shared" si="3"/>
        <v>2</v>
      </c>
      <c r="Q32" s="42">
        <f t="shared" si="4"/>
        <v>95</v>
      </c>
      <c r="R32" s="51">
        <f t="shared" si="5"/>
        <v>9.4251009216545903E-2</v>
      </c>
      <c r="S32" s="45">
        <f t="shared" si="6"/>
        <v>9.4251009216545903E-2</v>
      </c>
      <c r="T32" s="42">
        <f t="shared" si="7"/>
        <v>1.9132962071616224</v>
      </c>
      <c r="U32" s="42">
        <f t="shared" si="8"/>
        <v>1.7484984624610864</v>
      </c>
    </row>
    <row r="33" spans="2:21" hidden="1" x14ac:dyDescent="0.25">
      <c r="B33" s="38" t="s">
        <v>57</v>
      </c>
      <c r="C33" s="39" t="s">
        <v>58</v>
      </c>
      <c r="D33" s="40">
        <v>45511</v>
      </c>
      <c r="E33" s="40">
        <v>46241</v>
      </c>
      <c r="F33" s="39">
        <v>1000</v>
      </c>
      <c r="G33" s="39">
        <v>1000.07</v>
      </c>
      <c r="H33" s="39">
        <v>100.00700000000001</v>
      </c>
      <c r="I33" s="39">
        <v>50</v>
      </c>
      <c r="J33" s="41">
        <v>0.1</v>
      </c>
      <c r="K33" s="39" t="s">
        <v>21</v>
      </c>
      <c r="L33" s="3">
        <f t="shared" ca="1" si="0"/>
        <v>231</v>
      </c>
      <c r="M33" s="6">
        <f t="shared" si="1"/>
        <v>9.9993000489965692E-2</v>
      </c>
      <c r="N33" s="50">
        <f t="shared" si="2"/>
        <v>2</v>
      </c>
      <c r="O33" s="42" cm="1">
        <f t="array" ref="O33">_xlfn.IFS(K33="Semi-annual",2,K33="Quarterly",4,K33="Annual",1,K33="Every 4 months",3,K33="Monthly",12)</f>
        <v>1</v>
      </c>
      <c r="P33" s="42">
        <f t="shared" si="3"/>
        <v>2</v>
      </c>
      <c r="Q33" s="42">
        <f t="shared" si="4"/>
        <v>100</v>
      </c>
      <c r="R33" s="51">
        <f t="shared" si="5"/>
        <v>9.9959668859546491E-2</v>
      </c>
      <c r="S33" s="45">
        <f t="shared" si="6"/>
        <v>9.9959668859546491E-2</v>
      </c>
      <c r="T33" s="42">
        <f t="shared" si="7"/>
        <v>1.9090939392392852</v>
      </c>
      <c r="U33" s="42">
        <f t="shared" si="8"/>
        <v>1.7356035801009506</v>
      </c>
    </row>
    <row r="34" spans="2:21" hidden="1" x14ac:dyDescent="0.25">
      <c r="B34" s="38" t="s">
        <v>49</v>
      </c>
      <c r="C34" s="39" t="s">
        <v>50</v>
      </c>
      <c r="D34" s="40">
        <v>45866</v>
      </c>
      <c r="E34" s="40">
        <v>46595</v>
      </c>
      <c r="F34" s="39">
        <v>1000</v>
      </c>
      <c r="G34" s="39">
        <v>979.8</v>
      </c>
      <c r="H34" s="39">
        <v>97.98</v>
      </c>
      <c r="I34" s="39">
        <v>40</v>
      </c>
      <c r="J34" s="41">
        <v>0.10249999999999999</v>
      </c>
      <c r="K34" s="39" t="s">
        <v>21</v>
      </c>
      <c r="L34" s="3">
        <f t="shared" ca="1" si="0"/>
        <v>585</v>
      </c>
      <c r="M34" s="6">
        <f t="shared" si="1"/>
        <v>0.1046131863645642</v>
      </c>
      <c r="N34" s="50">
        <f t="shared" si="2"/>
        <v>2</v>
      </c>
      <c r="O34" s="42" cm="1">
        <f t="array" ref="O34">_xlfn.IFS(K34="Semi-annual",2,K34="Quarterly",4,K34="Annual",1,K34="Every 4 months",3,K34="Monthly",12)</f>
        <v>1</v>
      </c>
      <c r="P34" s="42">
        <f t="shared" si="3"/>
        <v>2</v>
      </c>
      <c r="Q34" s="42">
        <f t="shared" si="4"/>
        <v>102.5</v>
      </c>
      <c r="R34" s="51">
        <f t="shared" si="5"/>
        <v>0.11436385076876114</v>
      </c>
      <c r="S34" s="45">
        <f t="shared" si="6"/>
        <v>0.11436385076876114</v>
      </c>
      <c r="T34" s="42">
        <f t="shared" si="7"/>
        <v>1.9033451763252334</v>
      </c>
      <c r="U34" s="42">
        <f t="shared" si="8"/>
        <v>1.7080105165042649</v>
      </c>
    </row>
    <row r="35" spans="2:21" hidden="1" x14ac:dyDescent="0.25">
      <c r="B35" s="38" t="s">
        <v>17</v>
      </c>
      <c r="C35" s="39" t="s">
        <v>18</v>
      </c>
      <c r="D35" s="40">
        <v>45512</v>
      </c>
      <c r="E35" s="40">
        <v>46241</v>
      </c>
      <c r="F35" s="39">
        <v>1000</v>
      </c>
      <c r="G35" s="39">
        <v>852.7</v>
      </c>
      <c r="H35" s="39">
        <v>85.27</v>
      </c>
      <c r="I35" s="39">
        <v>100</v>
      </c>
      <c r="J35" s="41">
        <v>0.10249999999999999</v>
      </c>
      <c r="K35" s="39" t="s">
        <v>21</v>
      </c>
      <c r="L35" s="3">
        <f t="shared" ca="1" si="0"/>
        <v>231</v>
      </c>
      <c r="M35" s="6">
        <f t="shared" si="1"/>
        <v>0.12020640318986747</v>
      </c>
      <c r="N35" s="50">
        <f t="shared" si="2"/>
        <v>2</v>
      </c>
      <c r="O35" s="42" cm="1">
        <f t="array" ref="O35">_xlfn.IFS(K35="Semi-annual",2,K35="Quarterly",4,K35="Annual",1,K35="Every 4 months",3,K35="Monthly",12)</f>
        <v>1</v>
      </c>
      <c r="P35" s="42">
        <f t="shared" si="3"/>
        <v>2</v>
      </c>
      <c r="Q35" s="42">
        <f t="shared" si="4"/>
        <v>102.5</v>
      </c>
      <c r="R35" s="51">
        <f t="shared" si="5"/>
        <v>0.19877092969042406</v>
      </c>
      <c r="S35" s="45">
        <f t="shared" si="6"/>
        <v>0.19877092969042406</v>
      </c>
      <c r="T35" s="42">
        <f t="shared" si="7"/>
        <v>1.896947515676819</v>
      </c>
      <c r="U35" s="42">
        <f t="shared" si="8"/>
        <v>1.582410341037128</v>
      </c>
    </row>
    <row r="36" spans="2:21" hidden="1" x14ac:dyDescent="0.25">
      <c r="B36" s="38" t="s">
        <v>36</v>
      </c>
      <c r="C36" s="39" t="s">
        <v>37</v>
      </c>
      <c r="D36" s="40">
        <v>45401</v>
      </c>
      <c r="E36" s="40">
        <v>46131</v>
      </c>
      <c r="F36" s="39">
        <v>1000</v>
      </c>
      <c r="G36" s="39">
        <v>830.2</v>
      </c>
      <c r="H36" s="39">
        <v>83.02</v>
      </c>
      <c r="I36" s="39">
        <v>100</v>
      </c>
      <c r="J36" s="41">
        <v>0.11749999999999999</v>
      </c>
      <c r="K36" s="39" t="s">
        <v>21</v>
      </c>
      <c r="L36" s="3">
        <f t="shared" ca="1" si="0"/>
        <v>121</v>
      </c>
      <c r="M36" s="6">
        <f t="shared" si="1"/>
        <v>0.14153216092507828</v>
      </c>
      <c r="N36" s="50">
        <f t="shared" si="2"/>
        <v>2</v>
      </c>
      <c r="O36" s="42" cm="1">
        <f t="array" ref="O36">_xlfn.IFS(K36="Semi-annual",2,K36="Quarterly",4,K36="Annual",1,K36="Every 4 months",3,K36="Monthly",12)</f>
        <v>1</v>
      </c>
      <c r="P36" s="42">
        <f t="shared" si="3"/>
        <v>2</v>
      </c>
      <c r="Q36" s="42">
        <f t="shared" si="4"/>
        <v>117.5</v>
      </c>
      <c r="R36" s="51">
        <f t="shared" si="5"/>
        <v>0.23312102978684526</v>
      </c>
      <c r="S36" s="45">
        <f t="shared" si="6"/>
        <v>0.23312102978684526</v>
      </c>
      <c r="T36" s="42">
        <f t="shared" si="7"/>
        <v>1.8852244366073758</v>
      </c>
      <c r="U36" s="42">
        <f t="shared" si="8"/>
        <v>1.528823522645828</v>
      </c>
    </row>
    <row r="37" spans="2:21" hidden="1" x14ac:dyDescent="0.25">
      <c r="B37" s="38" t="s">
        <v>42</v>
      </c>
      <c r="C37" s="39" t="s">
        <v>43</v>
      </c>
      <c r="D37" s="40">
        <v>45463</v>
      </c>
      <c r="E37" s="40">
        <v>46011</v>
      </c>
      <c r="F37" s="39">
        <v>100000</v>
      </c>
      <c r="G37" s="39">
        <v>100000</v>
      </c>
      <c r="H37" s="39">
        <v>100</v>
      </c>
      <c r="I37" s="39">
        <v>150</v>
      </c>
      <c r="J37" s="41">
        <v>0.12</v>
      </c>
      <c r="K37" s="39" t="s">
        <v>44</v>
      </c>
      <c r="L37" s="3">
        <f t="shared" ca="1" si="0"/>
        <v>1</v>
      </c>
      <c r="M37" s="6">
        <f t="shared" si="1"/>
        <v>0.12</v>
      </c>
      <c r="N37" s="50">
        <f t="shared" si="2"/>
        <v>2</v>
      </c>
      <c r="O37" s="42" cm="1">
        <f t="array" ref="O37">_xlfn.IFS(K37="Semi-annual",2,K37="Quarterly",4,K37="Annual",1,K37="Every 4 months",3,K37="Monthly",12)</f>
        <v>4</v>
      </c>
      <c r="P37" s="42">
        <f t="shared" si="3"/>
        <v>8</v>
      </c>
      <c r="Q37" s="42">
        <f t="shared" si="4"/>
        <v>3000</v>
      </c>
      <c r="R37" s="51">
        <f t="shared" si="5"/>
        <v>3.0000000000006206E-2</v>
      </c>
      <c r="S37" s="45">
        <f t="shared" si="6"/>
        <v>0.12000000000002482</v>
      </c>
      <c r="T37" s="42">
        <f t="shared" si="7"/>
        <v>1.3949267967986314</v>
      </c>
      <c r="U37" s="42">
        <f t="shared" si="8"/>
        <v>1.3542978609695369</v>
      </c>
    </row>
    <row r="38" spans="2:21" hidden="1" x14ac:dyDescent="0.25"/>
    <row r="39" spans="2:21" hidden="1" x14ac:dyDescent="0.25"/>
    <row r="40" spans="2:21" hidden="1" x14ac:dyDescent="0.25"/>
    <row r="41" spans="2:21" hidden="1" x14ac:dyDescent="0.25"/>
    <row r="42" spans="2:21" hidden="1" x14ac:dyDescent="0.25"/>
    <row r="43" spans="2:21" hidden="1" x14ac:dyDescent="0.25"/>
    <row r="44" spans="2:21" hidden="1" x14ac:dyDescent="0.25"/>
    <row r="45" spans="2:21" hidden="1" x14ac:dyDescent="0.25"/>
    <row r="46" spans="2:21" hidden="1" x14ac:dyDescent="0.25"/>
    <row r="47" spans="2:21" ht="2.25" customHeight="1" x14ac:dyDescent="0.25"/>
    <row r="49" spans="2:16" x14ac:dyDescent="0.25">
      <c r="B49" s="54" t="s">
        <v>1593</v>
      </c>
    </row>
    <row r="51" spans="2:16" x14ac:dyDescent="0.25">
      <c r="B51" s="1" t="s">
        <v>0</v>
      </c>
      <c r="C51" s="2" t="s">
        <v>1</v>
      </c>
      <c r="D51" s="2" t="s">
        <v>101</v>
      </c>
      <c r="E51" s="2" t="s">
        <v>100</v>
      </c>
      <c r="F51" s="2" t="s">
        <v>1596</v>
      </c>
      <c r="G51" s="2" t="s">
        <v>103</v>
      </c>
      <c r="H51" s="2" t="s">
        <v>104</v>
      </c>
      <c r="I51" s="2" t="s">
        <v>105</v>
      </c>
      <c r="J51" s="2" t="s">
        <v>102</v>
      </c>
      <c r="K51" s="2" t="s">
        <v>106</v>
      </c>
      <c r="L51" s="2" t="s">
        <v>107</v>
      </c>
      <c r="M51" s="2" t="s">
        <v>108</v>
      </c>
      <c r="N51" s="2" t="s">
        <v>1594</v>
      </c>
      <c r="O51" s="2" t="s">
        <v>1592</v>
      </c>
      <c r="P51" s="53" t="s">
        <v>1595</v>
      </c>
    </row>
    <row r="52" spans="2:16" x14ac:dyDescent="0.25">
      <c r="B52" s="39" t="s">
        <v>51</v>
      </c>
      <c r="C52" s="39" t="s">
        <v>52</v>
      </c>
      <c r="D52" s="39">
        <v>740.7</v>
      </c>
      <c r="E52" s="39">
        <f>_xlfn.XLOOKUP(B52,$B$2:$B$37,$F$2:$F$37,,0)</f>
        <v>1000</v>
      </c>
      <c r="F52" s="46">
        <f>_xlfn.XLOOKUP(B52,$B$2:$B$37,$J$2:$J$37)</f>
        <v>6.7500000000000004E-2</v>
      </c>
      <c r="G52" s="42">
        <v>1</v>
      </c>
      <c r="H52" s="43">
        <v>45917</v>
      </c>
      <c r="I52" s="42">
        <f ca="1">TODAY()-H52</f>
        <v>93</v>
      </c>
      <c r="J52" s="42">
        <v>759.76</v>
      </c>
      <c r="K52" s="42">
        <f ca="1">E52*F52*I52/365</f>
        <v>17.198630136986303</v>
      </c>
      <c r="L52" s="44">
        <f ca="1">(J52-D52)*G52 + K52</f>
        <v>36.258630136986248</v>
      </c>
      <c r="M52" s="45">
        <f t="shared" ref="M52:M67" ca="1" si="9">L52/D52</f>
        <v>4.8951843036298431E-2</v>
      </c>
      <c r="N52" s="45">
        <f t="shared" ref="N52:N66" si="10">D52/$D$67</f>
        <v>6.0170935171849071E-2</v>
      </c>
      <c r="O52" s="42">
        <f t="shared" ref="O52:O66" si="11">_xlfn.XLOOKUP(B52,$B$2:$B$37,$U$2:$U$37,,0)</f>
        <v>6.5764616504696871</v>
      </c>
      <c r="P52" s="42">
        <f>O52*N52</f>
        <v>0.39571184763056311</v>
      </c>
    </row>
    <row r="53" spans="2:16" x14ac:dyDescent="0.25">
      <c r="B53" s="39" t="s">
        <v>67</v>
      </c>
      <c r="C53" s="39" t="s">
        <v>68</v>
      </c>
      <c r="D53" s="39">
        <v>1030</v>
      </c>
      <c r="E53" s="39">
        <f t="shared" ref="E53:E66" si="12">_xlfn.XLOOKUP(B53,$B$2:$B$37,$F$2:$F$37,,0)</f>
        <v>1000</v>
      </c>
      <c r="F53" s="46">
        <f t="shared" ref="F53:F66" si="13">_xlfn.XLOOKUP(B53,$B$2:$B$37,$J$2:$J$37)</f>
        <v>0.10249999999999999</v>
      </c>
      <c r="G53" s="42">
        <v>1</v>
      </c>
      <c r="H53" s="43">
        <v>45917</v>
      </c>
      <c r="I53" s="42">
        <f t="shared" ref="I53:I66" ca="1" si="14">TODAY()-H53</f>
        <v>93</v>
      </c>
      <c r="J53" s="44">
        <v>1082</v>
      </c>
      <c r="K53" s="42">
        <f t="shared" ref="K53:K66" ca="1" si="15">E53*F53*I53/365</f>
        <v>26.116438356164384</v>
      </c>
      <c r="L53" s="44">
        <f t="shared" ref="L53:L66" ca="1" si="16">(J53-D53)*G53 + K53</f>
        <v>78.11643835616438</v>
      </c>
      <c r="M53" s="45">
        <f t="shared" ca="1" si="9"/>
        <v>7.584120228753824E-2</v>
      </c>
      <c r="N53" s="45">
        <f t="shared" si="10"/>
        <v>8.3672287332259399E-2</v>
      </c>
      <c r="O53" s="42">
        <f t="shared" si="11"/>
        <v>6.151706839665418</v>
      </c>
      <c r="P53" s="42">
        <f t="shared" ref="P53:P66" si="17">O53*N53</f>
        <v>0.5147273822723103</v>
      </c>
    </row>
    <row r="54" spans="2:16" x14ac:dyDescent="0.25">
      <c r="B54" s="39" t="s">
        <v>59</v>
      </c>
      <c r="C54" s="39" t="s">
        <v>60</v>
      </c>
      <c r="D54" s="39">
        <v>1028</v>
      </c>
      <c r="E54" s="39">
        <f t="shared" si="12"/>
        <v>1000</v>
      </c>
      <c r="F54" s="46">
        <f t="shared" si="13"/>
        <v>0.10400000000000001</v>
      </c>
      <c r="G54" s="42">
        <v>1</v>
      </c>
      <c r="H54" s="43">
        <v>45917</v>
      </c>
      <c r="I54" s="42">
        <f t="shared" ca="1" si="14"/>
        <v>93</v>
      </c>
      <c r="J54" s="42">
        <v>1035</v>
      </c>
      <c r="K54" s="42">
        <f t="shared" ca="1" si="15"/>
        <v>26.498630136986307</v>
      </c>
      <c r="L54" s="44">
        <f t="shared" ca="1" si="16"/>
        <v>33.498630136986307</v>
      </c>
      <c r="M54" s="45">
        <f t="shared" ca="1" si="9"/>
        <v>3.2586216086562557E-2</v>
      </c>
      <c r="N54" s="45">
        <f t="shared" si="10"/>
        <v>8.3509816871420062E-2</v>
      </c>
      <c r="O54" s="42">
        <f t="shared" si="11"/>
        <v>6.108419075695716</v>
      </c>
      <c r="P54" s="42">
        <f t="shared" si="17"/>
        <v>0.51011295838523829</v>
      </c>
    </row>
    <row r="55" spans="2:16" x14ac:dyDescent="0.25">
      <c r="B55" s="39" t="s">
        <v>28</v>
      </c>
      <c r="C55" s="39" t="s">
        <v>29</v>
      </c>
      <c r="D55" s="39">
        <v>860</v>
      </c>
      <c r="E55" s="39">
        <f t="shared" si="12"/>
        <v>1000</v>
      </c>
      <c r="F55" s="46">
        <f t="shared" si="13"/>
        <v>0.11</v>
      </c>
      <c r="G55" s="42">
        <v>1</v>
      </c>
      <c r="H55" s="43">
        <v>45917</v>
      </c>
      <c r="I55" s="42">
        <f t="shared" ca="1" si="14"/>
        <v>93</v>
      </c>
      <c r="J55" s="42">
        <v>1065.2</v>
      </c>
      <c r="K55" s="42">
        <f t="shared" ca="1" si="15"/>
        <v>28.027397260273972</v>
      </c>
      <c r="L55" s="44">
        <f t="shared" ca="1" si="16"/>
        <v>233.22739726027402</v>
      </c>
      <c r="M55" s="45">
        <f t="shared" ca="1" si="9"/>
        <v>0.27119464797706283</v>
      </c>
      <c r="N55" s="45">
        <f t="shared" si="10"/>
        <v>6.9862298160915617E-2</v>
      </c>
      <c r="O55" s="42">
        <f t="shared" si="11"/>
        <v>5.5090489023177627</v>
      </c>
      <c r="P55" s="42">
        <f t="shared" si="17"/>
        <v>0.38487481699678844</v>
      </c>
    </row>
    <row r="56" spans="2:16" x14ac:dyDescent="0.25">
      <c r="B56" s="39" t="s">
        <v>23</v>
      </c>
      <c r="C56" s="39" t="s">
        <v>24</v>
      </c>
      <c r="D56" s="39">
        <v>739.8</v>
      </c>
      <c r="E56" s="39">
        <f t="shared" si="12"/>
        <v>1000</v>
      </c>
      <c r="F56" s="46">
        <f t="shared" si="13"/>
        <v>0.10150000000000001</v>
      </c>
      <c r="G56" s="42">
        <v>1</v>
      </c>
      <c r="H56" s="43">
        <v>45917</v>
      </c>
      <c r="I56" s="42">
        <f t="shared" ca="1" si="14"/>
        <v>93</v>
      </c>
      <c r="J56" s="42">
        <v>685.25</v>
      </c>
      <c r="K56" s="42">
        <f t="shared" ca="1" si="15"/>
        <v>25.861643835616437</v>
      </c>
      <c r="L56" s="44">
        <f t="shared" ca="1" si="16"/>
        <v>-28.688356164383517</v>
      </c>
      <c r="M56" s="45">
        <f t="shared" ca="1" si="9"/>
        <v>-3.8778529554451907E-2</v>
      </c>
      <c r="N56" s="45">
        <f t="shared" si="10"/>
        <v>6.0097823464471359E-2</v>
      </c>
      <c r="O56" s="42">
        <f t="shared" si="11"/>
        <v>3.3821131138716289</v>
      </c>
      <c r="P56" s="42">
        <f t="shared" si="17"/>
        <v>0.20325763685433068</v>
      </c>
    </row>
    <row r="57" spans="2:16" x14ac:dyDescent="0.25">
      <c r="B57" s="39" t="s">
        <v>34</v>
      </c>
      <c r="C57" s="39" t="s">
        <v>35</v>
      </c>
      <c r="D57" s="39">
        <v>618</v>
      </c>
      <c r="E57" s="39">
        <f t="shared" si="12"/>
        <v>1000</v>
      </c>
      <c r="F57" s="46">
        <f t="shared" si="13"/>
        <v>9.6500000000000002E-2</v>
      </c>
      <c r="G57" s="42">
        <v>1</v>
      </c>
      <c r="H57" s="43">
        <v>45917</v>
      </c>
      <c r="I57" s="42">
        <f t="shared" ca="1" si="14"/>
        <v>93</v>
      </c>
      <c r="J57" s="42">
        <v>607.20000000000005</v>
      </c>
      <c r="K57" s="42">
        <f t="shared" ca="1" si="15"/>
        <v>24.587671232876712</v>
      </c>
      <c r="L57" s="44">
        <f t="shared" ca="1" si="16"/>
        <v>13.787671232876757</v>
      </c>
      <c r="M57" s="45">
        <f t="shared" ca="1" si="9"/>
        <v>2.231014762601417E-2</v>
      </c>
      <c r="N57" s="45">
        <f t="shared" si="10"/>
        <v>5.0203372399355642E-2</v>
      </c>
      <c r="O57" s="42">
        <f t="shared" si="11"/>
        <v>3.2033117233241977</v>
      </c>
      <c r="P57" s="42">
        <f t="shared" si="17"/>
        <v>0.16081705135726637</v>
      </c>
    </row>
    <row r="58" spans="2:16" x14ac:dyDescent="0.25">
      <c r="B58" s="39" t="s">
        <v>38</v>
      </c>
      <c r="C58" s="39" t="s">
        <v>39</v>
      </c>
      <c r="D58" s="39">
        <v>603.79999999999995</v>
      </c>
      <c r="E58" s="39">
        <f t="shared" si="12"/>
        <v>1000</v>
      </c>
      <c r="F58" s="46">
        <f t="shared" si="13"/>
        <v>0.10150000000000001</v>
      </c>
      <c r="G58" s="42">
        <v>1</v>
      </c>
      <c r="H58" s="43">
        <v>45917</v>
      </c>
      <c r="I58" s="42">
        <f t="shared" ca="1" si="14"/>
        <v>93</v>
      </c>
      <c r="J58" s="42">
        <v>724.55</v>
      </c>
      <c r="K58" s="42">
        <f t="shared" ca="1" si="15"/>
        <v>25.861643835616437</v>
      </c>
      <c r="L58" s="44">
        <f t="shared" ca="1" si="16"/>
        <v>146.61164383561643</v>
      </c>
      <c r="M58" s="45">
        <f t="shared" ca="1" si="9"/>
        <v>0.24281491195034191</v>
      </c>
      <c r="N58" s="45">
        <f t="shared" si="10"/>
        <v>4.9049832127396331E-2</v>
      </c>
      <c r="O58" s="42">
        <f t="shared" si="11"/>
        <v>3.1207297648774079</v>
      </c>
      <c r="P58" s="42">
        <f t="shared" si="17"/>
        <v>0.15307127108220589</v>
      </c>
    </row>
    <row r="59" spans="2:16" x14ac:dyDescent="0.25">
      <c r="B59" s="39" t="s">
        <v>55</v>
      </c>
      <c r="C59" s="39" t="s">
        <v>56</v>
      </c>
      <c r="D59" s="39">
        <v>400.8</v>
      </c>
      <c r="E59" s="39">
        <f t="shared" si="12"/>
        <v>1000</v>
      </c>
      <c r="F59" s="46">
        <f t="shared" si="13"/>
        <v>0.10050000000000001</v>
      </c>
      <c r="G59" s="42">
        <v>1</v>
      </c>
      <c r="H59" s="43">
        <v>45917</v>
      </c>
      <c r="I59" s="42">
        <f t="shared" ca="1" si="14"/>
        <v>93</v>
      </c>
      <c r="J59" s="42">
        <v>385</v>
      </c>
      <c r="K59" s="42">
        <f t="shared" ca="1" si="15"/>
        <v>25.606849315068494</v>
      </c>
      <c r="L59" s="44">
        <f t="shared" ca="1" si="16"/>
        <v>9.806849315068483</v>
      </c>
      <c r="M59" s="45">
        <f t="shared" ca="1" si="9"/>
        <v>2.4468186913843521E-2</v>
      </c>
      <c r="N59" s="45">
        <f t="shared" si="10"/>
        <v>3.2559080352203465E-2</v>
      </c>
      <c r="O59" s="42">
        <f t="shared" si="11"/>
        <v>1.6576315494044478</v>
      </c>
      <c r="P59" s="42">
        <f t="shared" si="17"/>
        <v>5.3970958811406941E-2</v>
      </c>
    </row>
    <row r="60" spans="2:16" x14ac:dyDescent="0.25">
      <c r="B60" s="39" t="s">
        <v>32</v>
      </c>
      <c r="C60" s="39" t="s">
        <v>33</v>
      </c>
      <c r="D60" s="39">
        <v>331.1</v>
      </c>
      <c r="E60" s="39">
        <f t="shared" si="12"/>
        <v>1000</v>
      </c>
      <c r="F60" s="46">
        <f t="shared" si="13"/>
        <v>9.9000000000000005E-2</v>
      </c>
      <c r="G60" s="42">
        <v>1</v>
      </c>
      <c r="H60" s="43">
        <v>45917</v>
      </c>
      <c r="I60" s="42">
        <f t="shared" ca="1" si="14"/>
        <v>93</v>
      </c>
      <c r="J60" s="42">
        <v>310</v>
      </c>
      <c r="K60" s="42">
        <f t="shared" ca="1" si="15"/>
        <v>25.224657534246575</v>
      </c>
      <c r="L60" s="44">
        <f t="shared" ca="1" si="16"/>
        <v>4.1246575342465519</v>
      </c>
      <c r="M60" s="45">
        <f t="shared" ca="1" si="9"/>
        <v>1.2457437433544402E-2</v>
      </c>
      <c r="N60" s="45">
        <f t="shared" si="10"/>
        <v>2.6896984791952513E-2</v>
      </c>
      <c r="O60" s="42">
        <f t="shared" si="11"/>
        <v>1.5182824277145461</v>
      </c>
      <c r="P60" s="42">
        <f t="shared" si="17"/>
        <v>4.0837219368126891E-2</v>
      </c>
    </row>
    <row r="61" spans="2:16" x14ac:dyDescent="0.25">
      <c r="B61" s="39" t="s">
        <v>93</v>
      </c>
      <c r="C61" s="39" t="s">
        <v>94</v>
      </c>
      <c r="D61" s="39">
        <v>1035.3499999999999</v>
      </c>
      <c r="E61" s="39">
        <f t="shared" si="12"/>
        <v>1000</v>
      </c>
      <c r="F61" s="46">
        <f t="shared" si="13"/>
        <v>0.109</v>
      </c>
      <c r="G61" s="42">
        <v>1</v>
      </c>
      <c r="H61" s="43">
        <v>45917</v>
      </c>
      <c r="I61" s="42">
        <f t="shared" ca="1" si="14"/>
        <v>93</v>
      </c>
      <c r="J61" s="42">
        <v>1072.8</v>
      </c>
      <c r="K61" s="42">
        <f t="shared" ca="1" si="15"/>
        <v>27.772602739726029</v>
      </c>
      <c r="L61" s="44">
        <f t="shared" ca="1" si="16"/>
        <v>65.222602739726071</v>
      </c>
      <c r="M61" s="45">
        <f t="shared" ca="1" si="9"/>
        <v>6.2995704582726686E-2</v>
      </c>
      <c r="N61" s="45">
        <f t="shared" si="10"/>
        <v>8.410689581500462E-2</v>
      </c>
      <c r="O61" s="42">
        <f t="shared" si="11"/>
        <v>1.8109710873014198</v>
      </c>
      <c r="P61" s="42">
        <f t="shared" si="17"/>
        <v>0.15231515656364614</v>
      </c>
    </row>
    <row r="62" spans="2:16" x14ac:dyDescent="0.25">
      <c r="B62" s="39" t="s">
        <v>45</v>
      </c>
      <c r="C62" s="39" t="s">
        <v>46</v>
      </c>
      <c r="D62" s="39">
        <v>951.2</v>
      </c>
      <c r="E62" s="39">
        <f t="shared" si="12"/>
        <v>1000</v>
      </c>
      <c r="F62" s="46">
        <f t="shared" si="13"/>
        <v>0.09</v>
      </c>
      <c r="G62" s="42">
        <v>1</v>
      </c>
      <c r="H62" s="43">
        <v>45917</v>
      </c>
      <c r="I62" s="42">
        <f t="shared" ca="1" si="14"/>
        <v>93</v>
      </c>
      <c r="J62" s="42">
        <v>995</v>
      </c>
      <c r="K62" s="42">
        <f t="shared" ca="1" si="15"/>
        <v>22.931506849315067</v>
      </c>
      <c r="L62" s="44">
        <f t="shared" ca="1" si="16"/>
        <v>66.731506849315025</v>
      </c>
      <c r="M62" s="45">
        <f t="shared" ca="1" si="9"/>
        <v>7.0155074484141114E-2</v>
      </c>
      <c r="N62" s="45">
        <f t="shared" si="10"/>
        <v>7.7270951175189465E-2</v>
      </c>
      <c r="O62" s="42">
        <f t="shared" si="11"/>
        <v>1.7119947449790525</v>
      </c>
      <c r="P62" s="42">
        <f t="shared" si="17"/>
        <v>0.1322874623514573</v>
      </c>
    </row>
    <row r="63" spans="2:16" x14ac:dyDescent="0.25">
      <c r="B63" s="39" t="s">
        <v>65</v>
      </c>
      <c r="C63" s="39" t="s">
        <v>66</v>
      </c>
      <c r="D63" s="39">
        <v>990</v>
      </c>
      <c r="E63" s="39">
        <f t="shared" si="12"/>
        <v>1000</v>
      </c>
      <c r="F63" s="46">
        <f t="shared" si="13"/>
        <v>9.1999999999999998E-2</v>
      </c>
      <c r="G63" s="42">
        <v>1</v>
      </c>
      <c r="H63" s="43">
        <v>45917</v>
      </c>
      <c r="I63" s="42">
        <f t="shared" ca="1" si="14"/>
        <v>93</v>
      </c>
      <c r="J63" s="42">
        <v>1002</v>
      </c>
      <c r="K63" s="42">
        <f t="shared" ca="1" si="15"/>
        <v>23.44109589041096</v>
      </c>
      <c r="L63" s="44">
        <f t="shared" ca="1" si="16"/>
        <v>35.441095890410963</v>
      </c>
      <c r="M63" s="45">
        <f t="shared" ca="1" si="9"/>
        <v>3.5799086757990872E-2</v>
      </c>
      <c r="N63" s="45">
        <f t="shared" si="10"/>
        <v>8.0422878115472635E-2</v>
      </c>
      <c r="O63" s="42">
        <f t="shared" si="11"/>
        <v>1.7448006295463301</v>
      </c>
      <c r="P63" s="42">
        <f t="shared" si="17"/>
        <v>0.14032188836580442</v>
      </c>
    </row>
    <row r="64" spans="2:16" x14ac:dyDescent="0.25">
      <c r="B64" s="39" t="s">
        <v>77</v>
      </c>
      <c r="C64" s="39" t="s">
        <v>78</v>
      </c>
      <c r="D64" s="39">
        <v>1001.31</v>
      </c>
      <c r="E64" s="39">
        <f t="shared" si="12"/>
        <v>1000</v>
      </c>
      <c r="F64" s="46">
        <f t="shared" si="13"/>
        <v>9.5000000000000001E-2</v>
      </c>
      <c r="G64" s="42">
        <v>1</v>
      </c>
      <c r="H64" s="43">
        <v>45917</v>
      </c>
      <c r="I64" s="42">
        <f t="shared" ca="1" si="14"/>
        <v>93</v>
      </c>
      <c r="J64" s="42">
        <v>1036.72</v>
      </c>
      <c r="K64" s="42">
        <f t="shared" ca="1" si="15"/>
        <v>24.205479452054796</v>
      </c>
      <c r="L64" s="44">
        <f t="shared" ca="1" si="16"/>
        <v>59.615479452054878</v>
      </c>
      <c r="M64" s="45">
        <f t="shared" ca="1" si="9"/>
        <v>5.9537485346251293E-2</v>
      </c>
      <c r="N64" s="45">
        <f t="shared" si="10"/>
        <v>8.1341648571519085E-2</v>
      </c>
      <c r="O64" s="42">
        <f t="shared" si="11"/>
        <v>1.7484984624610864</v>
      </c>
      <c r="P64" s="42">
        <f t="shared" si="17"/>
        <v>0.14222574746135114</v>
      </c>
    </row>
    <row r="65" spans="2:16" x14ac:dyDescent="0.25">
      <c r="B65" s="39" t="s">
        <v>57</v>
      </c>
      <c r="C65" s="39" t="s">
        <v>58</v>
      </c>
      <c r="D65" s="39">
        <v>1000.07</v>
      </c>
      <c r="E65" s="39">
        <f t="shared" si="12"/>
        <v>1000</v>
      </c>
      <c r="F65" s="46">
        <f t="shared" si="13"/>
        <v>0.1</v>
      </c>
      <c r="G65" s="42">
        <v>1</v>
      </c>
      <c r="H65" s="43">
        <v>45917</v>
      </c>
      <c r="I65" s="42">
        <f t="shared" ca="1" si="14"/>
        <v>93</v>
      </c>
      <c r="J65" s="42">
        <v>1022</v>
      </c>
      <c r="K65" s="42">
        <f t="shared" ca="1" si="15"/>
        <v>25.479452054794521</v>
      </c>
      <c r="L65" s="44">
        <f t="shared" ca="1" si="16"/>
        <v>47.409452054794471</v>
      </c>
      <c r="M65" s="45">
        <f t="shared" ca="1" si="9"/>
        <v>4.7406133625440688E-2</v>
      </c>
      <c r="N65" s="45">
        <f t="shared" si="10"/>
        <v>8.1240916885798709E-2</v>
      </c>
      <c r="O65" s="42">
        <f t="shared" si="11"/>
        <v>1.7356035801009506</v>
      </c>
      <c r="P65" s="42">
        <f t="shared" si="17"/>
        <v>0.14100202619767602</v>
      </c>
    </row>
    <row r="66" spans="2:16" x14ac:dyDescent="0.25">
      <c r="B66" s="39" t="s">
        <v>49</v>
      </c>
      <c r="C66" s="39" t="s">
        <v>50</v>
      </c>
      <c r="D66" s="39">
        <v>979.8</v>
      </c>
      <c r="E66" s="39">
        <f t="shared" si="12"/>
        <v>1000</v>
      </c>
      <c r="F66" s="46">
        <f t="shared" si="13"/>
        <v>0.10249999999999999</v>
      </c>
      <c r="G66" s="42">
        <v>1</v>
      </c>
      <c r="H66" s="43">
        <v>45917</v>
      </c>
      <c r="I66" s="42">
        <f t="shared" ca="1" si="14"/>
        <v>93</v>
      </c>
      <c r="J66" s="42">
        <v>985</v>
      </c>
      <c r="K66" s="42">
        <f t="shared" ca="1" si="15"/>
        <v>26.116438356164384</v>
      </c>
      <c r="L66" s="44">
        <f t="shared" ca="1" si="16"/>
        <v>31.316438356164429</v>
      </c>
      <c r="M66" s="45">
        <f t="shared" ca="1" si="9"/>
        <v>3.1962072214905525E-2</v>
      </c>
      <c r="N66" s="45">
        <f t="shared" si="10"/>
        <v>7.9594278765191998E-2</v>
      </c>
      <c r="O66" s="42">
        <f t="shared" si="11"/>
        <v>1.7080105165042649</v>
      </c>
      <c r="P66" s="42">
        <f t="shared" si="17"/>
        <v>0.13594786518452004</v>
      </c>
    </row>
    <row r="67" spans="2:16" x14ac:dyDescent="0.25">
      <c r="B67" s="42"/>
      <c r="C67" s="42"/>
      <c r="D67" s="42">
        <f>SUM(D52:D66)</f>
        <v>12309.93</v>
      </c>
      <c r="E67" s="42"/>
      <c r="F67" s="42"/>
      <c r="G67" s="42"/>
      <c r="H67" s="42"/>
      <c r="I67" s="42"/>
      <c r="J67" s="44">
        <f>SUM(J52:J66)</f>
        <v>12767.48</v>
      </c>
      <c r="K67" s="45"/>
      <c r="L67" s="44">
        <f ca="1">SUM(L52:L66)</f>
        <v>832.48013698630132</v>
      </c>
      <c r="M67" s="49">
        <f t="shared" ca="1" si="9"/>
        <v>6.7626715747880067E-2</v>
      </c>
      <c r="N67" s="42"/>
      <c r="O67" s="42"/>
      <c r="P67" s="48">
        <f>SUM(P52:P66)</f>
        <v>3.2614812888826918</v>
      </c>
    </row>
    <row r="68" spans="2:16" x14ac:dyDescent="0.25">
      <c r="J68" s="33"/>
      <c r="M68" s="47"/>
    </row>
    <row r="71" spans="2:16" x14ac:dyDescent="0.25">
      <c r="B71" s="55" t="s">
        <v>1598</v>
      </c>
      <c r="C71" s="56" t="s">
        <v>1599</v>
      </c>
      <c r="D71" s="55" t="s">
        <v>1601</v>
      </c>
      <c r="E71" s="55" t="s">
        <v>1600</v>
      </c>
      <c r="F71" s="55" t="s">
        <v>1602</v>
      </c>
      <c r="G71" s="55" t="s">
        <v>1603</v>
      </c>
    </row>
    <row r="72" spans="2:16" x14ac:dyDescent="0.25">
      <c r="B72" s="42">
        <f>SUMPRODUCT(D52:D66,G52:G66)</f>
        <v>12309.93</v>
      </c>
      <c r="C72" s="42">
        <f>SUMPRODUCT(J52:J66,G52:G66)</f>
        <v>12767.48</v>
      </c>
      <c r="D72" s="42">
        <f ca="1">SUM(K52:K66)</f>
        <v>374.93013698630142</v>
      </c>
      <c r="E72" s="42">
        <f ca="1">C72-B72+D72</f>
        <v>832.48013698630075</v>
      </c>
      <c r="F72" s="45">
        <f ca="1">E72/B72</f>
        <v>6.7626715747880026E-2</v>
      </c>
      <c r="G72" s="42">
        <f>P67</f>
        <v>3.2614812888826918</v>
      </c>
    </row>
    <row r="74" spans="2:16" hidden="1" x14ac:dyDescent="0.25">
      <c r="B74" s="38" t="s">
        <v>98</v>
      </c>
      <c r="C74" s="39" t="s">
        <v>99</v>
      </c>
      <c r="D74" s="39">
        <v>1170</v>
      </c>
      <c r="E74" s="42">
        <v>1</v>
      </c>
      <c r="F74" s="43">
        <f t="shared" ref="F74:F80" ca="1" si="18">TODAY()-91</f>
        <v>45919</v>
      </c>
      <c r="G74" s="42">
        <f t="shared" ref="G74:G80" ca="1" si="19">TODAY()-F74</f>
        <v>91</v>
      </c>
      <c r="H74" s="42">
        <v>980</v>
      </c>
      <c r="I74" s="44">
        <f t="shared" ref="I74:I80" si="20">(H74-D74)*E74</f>
        <v>-190</v>
      </c>
      <c r="J74" s="45">
        <f t="shared" ref="J74:J80" si="21">I74/D74</f>
        <v>-0.1623931623931624</v>
      </c>
      <c r="K74" s="45">
        <f t="shared" ref="K74:K80" si="22">D74/$D$67</f>
        <v>9.50452195910131E-2</v>
      </c>
      <c r="L74" s="42">
        <f t="shared" ref="L74:L80" si="23">_xlfn.XLOOKUP(B74,$B$2:$B$37,$U$2:$U$37,,0)</f>
        <v>2.8428984582039294</v>
      </c>
      <c r="M74" s="42">
        <f t="shared" ref="M74:M80" si="24">L74*K74</f>
        <v>0.27020390823494506</v>
      </c>
    </row>
    <row r="75" spans="2:16" hidden="1" x14ac:dyDescent="0.25">
      <c r="B75" s="38" t="s">
        <v>91</v>
      </c>
      <c r="C75" s="39" t="s">
        <v>92</v>
      </c>
      <c r="D75" s="39">
        <v>1005.5</v>
      </c>
      <c r="E75" s="42">
        <v>1</v>
      </c>
      <c r="F75" s="43">
        <f t="shared" ca="1" si="18"/>
        <v>45919</v>
      </c>
      <c r="G75" s="42">
        <f t="shared" ca="1" si="19"/>
        <v>91</v>
      </c>
      <c r="H75" s="42">
        <v>1053.5999999999999</v>
      </c>
      <c r="I75" s="44">
        <f t="shared" si="20"/>
        <v>48.099999999999909</v>
      </c>
      <c r="J75" s="45">
        <f t="shared" si="21"/>
        <v>4.7836897066136162E-2</v>
      </c>
      <c r="K75" s="45">
        <f t="shared" si="22"/>
        <v>8.1682024186977509E-2</v>
      </c>
      <c r="L75" s="42">
        <f t="shared" si="23"/>
        <v>2.530215354775101</v>
      </c>
      <c r="M75" s="42">
        <f t="shared" si="24"/>
        <v>0.20667311180700168</v>
      </c>
    </row>
    <row r="76" spans="2:16" hidden="1" x14ac:dyDescent="0.25">
      <c r="B76" s="38" t="s">
        <v>81</v>
      </c>
      <c r="C76" s="39" t="s">
        <v>82</v>
      </c>
      <c r="D76" s="39">
        <v>1009</v>
      </c>
      <c r="E76" s="42">
        <v>1</v>
      </c>
      <c r="F76" s="43">
        <f t="shared" ca="1" si="18"/>
        <v>45919</v>
      </c>
      <c r="G76" s="42">
        <f t="shared" ca="1" si="19"/>
        <v>91</v>
      </c>
      <c r="H76" s="42">
        <v>1042</v>
      </c>
      <c r="I76" s="44">
        <f t="shared" si="20"/>
        <v>33</v>
      </c>
      <c r="J76" s="45">
        <f t="shared" si="21"/>
        <v>3.2705649157581763E-2</v>
      </c>
      <c r="K76" s="45">
        <f t="shared" si="22"/>
        <v>8.1966347493446348E-2</v>
      </c>
      <c r="L76" s="42">
        <f t="shared" si="23"/>
        <v>2.511531305224652</v>
      </c>
      <c r="M76" s="42">
        <f t="shared" si="24"/>
        <v>0.2058610477047127</v>
      </c>
    </row>
    <row r="77" spans="2:16" hidden="1" x14ac:dyDescent="0.25">
      <c r="B77" s="38" t="s">
        <v>73</v>
      </c>
      <c r="C77" s="39" t="s">
        <v>74</v>
      </c>
      <c r="D77" s="39">
        <v>1000</v>
      </c>
      <c r="E77" s="42">
        <v>1</v>
      </c>
      <c r="F77" s="43">
        <f t="shared" ca="1" si="18"/>
        <v>45919</v>
      </c>
      <c r="G77" s="42">
        <f t="shared" ca="1" si="19"/>
        <v>91</v>
      </c>
      <c r="H77" s="42">
        <v>1000</v>
      </c>
      <c r="I77" s="44">
        <f t="shared" si="20"/>
        <v>0</v>
      </c>
      <c r="J77" s="45">
        <f t="shared" si="21"/>
        <v>0</v>
      </c>
      <c r="K77" s="45">
        <f t="shared" si="22"/>
        <v>8.1235230419669319E-2</v>
      </c>
      <c r="L77" s="42">
        <f t="shared" si="23"/>
        <v>2.5022557193901678</v>
      </c>
      <c r="M77" s="42">
        <f t="shared" si="24"/>
        <v>0.20327131993359568</v>
      </c>
    </row>
    <row r="78" spans="2:16" hidden="1" x14ac:dyDescent="0.25">
      <c r="B78" s="38" t="s">
        <v>85</v>
      </c>
      <c r="C78" s="39" t="s">
        <v>86</v>
      </c>
      <c r="D78" s="39">
        <v>1020.4</v>
      </c>
      <c r="E78" s="42">
        <v>1</v>
      </c>
      <c r="F78" s="43">
        <f t="shared" ca="1" si="18"/>
        <v>45919</v>
      </c>
      <c r="G78" s="42">
        <f t="shared" ca="1" si="19"/>
        <v>91</v>
      </c>
      <c r="H78" s="42">
        <v>1035</v>
      </c>
      <c r="I78" s="44">
        <f t="shared" si="20"/>
        <v>14.600000000000023</v>
      </c>
      <c r="J78" s="45">
        <f t="shared" si="21"/>
        <v>1.4308114464915742E-2</v>
      </c>
      <c r="K78" s="45">
        <f t="shared" si="22"/>
        <v>8.2892429120230579E-2</v>
      </c>
      <c r="L78" s="42">
        <f t="shared" si="23"/>
        <v>2.5078002622842641</v>
      </c>
      <c r="M78" s="42">
        <f t="shared" si="24"/>
        <v>0.20787765548909401</v>
      </c>
    </row>
    <row r="79" spans="2:16" hidden="1" x14ac:dyDescent="0.25">
      <c r="B79" s="38" t="s">
        <v>63</v>
      </c>
      <c r="C79" s="39" t="s">
        <v>64</v>
      </c>
      <c r="D79" s="39">
        <v>999.8</v>
      </c>
      <c r="E79" s="42">
        <v>1</v>
      </c>
      <c r="F79" s="43">
        <f t="shared" ca="1" si="18"/>
        <v>45919</v>
      </c>
      <c r="G79" s="42">
        <f t="shared" ca="1" si="19"/>
        <v>91</v>
      </c>
      <c r="H79" s="42">
        <v>1015</v>
      </c>
      <c r="I79" s="44">
        <f t="shared" si="20"/>
        <v>15.200000000000045</v>
      </c>
      <c r="J79" s="45">
        <f t="shared" si="21"/>
        <v>1.520304060812167E-2</v>
      </c>
      <c r="K79" s="45">
        <f t="shared" si="22"/>
        <v>8.1218983373585379E-2</v>
      </c>
      <c r="L79" s="42">
        <f t="shared" si="23"/>
        <v>2.49102981221704</v>
      </c>
      <c r="M79" s="42">
        <f t="shared" si="24"/>
        <v>0.20231890890156129</v>
      </c>
    </row>
    <row r="80" spans="2:16" hidden="1" x14ac:dyDescent="0.25">
      <c r="B80" s="38" t="s">
        <v>79</v>
      </c>
      <c r="C80" s="39" t="s">
        <v>80</v>
      </c>
      <c r="D80" s="39">
        <v>1015.99</v>
      </c>
      <c r="E80" s="42">
        <v>1</v>
      </c>
      <c r="F80" s="43">
        <f t="shared" ca="1" si="18"/>
        <v>45919</v>
      </c>
      <c r="G80" s="42">
        <f t="shared" ca="1" si="19"/>
        <v>91</v>
      </c>
      <c r="H80" s="42">
        <v>1030</v>
      </c>
      <c r="I80" s="44">
        <f t="shared" si="20"/>
        <v>14.009999999999991</v>
      </c>
      <c r="J80" s="45">
        <f t="shared" si="21"/>
        <v>1.3789505802222454E-2</v>
      </c>
      <c r="K80" s="45">
        <f t="shared" si="22"/>
        <v>8.2534181754079838E-2</v>
      </c>
      <c r="L80" s="42">
        <f t="shared" si="23"/>
        <v>2.5032966861082571</v>
      </c>
      <c r="M80" s="42">
        <f t="shared" si="24"/>
        <v>0.20660754367564463</v>
      </c>
    </row>
    <row r="81" spans="2:16" hidden="1" x14ac:dyDescent="0.25"/>
    <row r="82" spans="2:16" hidden="1" x14ac:dyDescent="0.25"/>
    <row r="83" spans="2:16" hidden="1" x14ac:dyDescent="0.25"/>
    <row r="84" spans="2:16" hidden="1" x14ac:dyDescent="0.25">
      <c r="B84" s="39" t="s">
        <v>87</v>
      </c>
      <c r="C84" s="39" t="s">
        <v>88</v>
      </c>
      <c r="D84" s="39">
        <v>10159</v>
      </c>
      <c r="E84" s="39">
        <f>_xlfn.XLOOKUP(B84,$B$2:$B$37,$F$2:$F$37,,0)</f>
        <v>10000</v>
      </c>
      <c r="F84" s="46">
        <f>_xlfn.XLOOKUP(B84,$B$2:$B$37,$J$2:$J$37)</f>
        <v>9.8599999999999993E-2</v>
      </c>
      <c r="G84" s="42">
        <v>1</v>
      </c>
      <c r="H84" s="43">
        <f ca="1">TODAY()-91</f>
        <v>45919</v>
      </c>
      <c r="I84" s="42">
        <f ca="1">TODAY()-H84</f>
        <v>91</v>
      </c>
      <c r="J84" s="42">
        <v>9942</v>
      </c>
      <c r="K84" s="42">
        <f ca="1">E84*F84*I84/365</f>
        <v>245.82465753424654</v>
      </c>
      <c r="L84" s="44">
        <f ca="1">(J84-D84)*G84 + K84</f>
        <v>28.824657534246541</v>
      </c>
      <c r="M84" s="45">
        <f ca="1">L84/D84</f>
        <v>2.8373518588686425E-3</v>
      </c>
      <c r="N84" s="45">
        <f>D84/$D$67</f>
        <v>0.8252687058334206</v>
      </c>
      <c r="O84" s="42">
        <f>_xlfn.XLOOKUP(B84,$B$2:$B$37,$U$2:$U$37,,0)</f>
        <v>1.8991654091677672</v>
      </c>
      <c r="P84" s="42">
        <f>O84*N84</f>
        <v>1.5673217793874819</v>
      </c>
    </row>
    <row r="85" spans="2:16" hidden="1" x14ac:dyDescent="0.25">
      <c r="B85" s="39" t="s">
        <v>75</v>
      </c>
      <c r="C85" s="39" t="s">
        <v>76</v>
      </c>
      <c r="D85" s="39">
        <v>1017.7</v>
      </c>
      <c r="E85" s="39">
        <f>_xlfn.XLOOKUP(B85,$B$2:$B$37,$F$2:$F$37,,0)</f>
        <v>1000</v>
      </c>
      <c r="F85" s="46">
        <f>_xlfn.XLOOKUP(B85,$B$2:$B$37,$J$2:$J$37)</f>
        <v>0.10199999999999999</v>
      </c>
      <c r="G85" s="42">
        <v>1</v>
      </c>
      <c r="H85" s="43">
        <f ca="1">TODAY()-91</f>
        <v>45919</v>
      </c>
      <c r="I85" s="42">
        <f ca="1">TODAY()-H85</f>
        <v>91</v>
      </c>
      <c r="J85" s="42">
        <v>1012</v>
      </c>
      <c r="K85" s="42">
        <f ca="1">E85*F85*I85/365</f>
        <v>25.43013698630137</v>
      </c>
      <c r="L85" s="44">
        <f ca="1">(J85-D85)*G85 + K85</f>
        <v>19.730136986301325</v>
      </c>
      <c r="M85" s="45">
        <f ca="1">L85/D85</f>
        <v>1.9386987310898423E-2</v>
      </c>
      <c r="N85" s="45">
        <f>D85/$D$67</f>
        <v>8.2673093998097469E-2</v>
      </c>
      <c r="O85" s="42">
        <f>_xlfn.XLOOKUP(B85,$B$2:$B$37,$U$2:$U$37,,0)</f>
        <v>2.4963170482131347</v>
      </c>
      <c r="P85" s="42">
        <f>O85*N85</f>
        <v>0.2063782539759777</v>
      </c>
    </row>
    <row r="86" spans="2:16" hidden="1" x14ac:dyDescent="0.25">
      <c r="B86" s="39" t="s">
        <v>30</v>
      </c>
      <c r="C86" s="39" t="s">
        <v>31</v>
      </c>
      <c r="D86" s="39">
        <v>925</v>
      </c>
      <c r="E86" s="39">
        <f>_xlfn.XLOOKUP(B86,$B$2:$B$37,$F$2:$F$37,,0)</f>
        <v>1000</v>
      </c>
      <c r="F86" s="46">
        <f>_xlfn.XLOOKUP(B86,$B$2:$B$37,$J$2:$J$37)</f>
        <v>9.9000000000000005E-2</v>
      </c>
      <c r="G86" s="42">
        <v>1</v>
      </c>
      <c r="H86" s="43">
        <f ca="1">TODAY()-91</f>
        <v>45919</v>
      </c>
      <c r="I86" s="42">
        <f ca="1">TODAY()-H86</f>
        <v>91</v>
      </c>
      <c r="J86" s="42">
        <v>1045.8</v>
      </c>
      <c r="K86" s="42">
        <f ca="1">E86*F86*I86/365</f>
        <v>24.682191780821917</v>
      </c>
      <c r="L86" s="44">
        <f ca="1">(J86-D86)*G86 + K86</f>
        <v>145.48219178082186</v>
      </c>
      <c r="M86" s="45">
        <f ca="1">L86/D86</f>
        <v>0.15727804516845606</v>
      </c>
      <c r="N86" s="45">
        <f>D86/$D$67</f>
        <v>7.5142588138194119E-2</v>
      </c>
      <c r="O86" s="42">
        <f>_xlfn.XLOOKUP(B86,$B$2:$B$37,$U$2:$U$37,,0)</f>
        <v>2.4115583265751339</v>
      </c>
      <c r="P86" s="42">
        <f>O86*N86</f>
        <v>0.18121073410506791</v>
      </c>
    </row>
    <row r="87" spans="2:16" hidden="1" x14ac:dyDescent="0.25">
      <c r="B87" s="39" t="s">
        <v>61</v>
      </c>
      <c r="C87" s="39" t="s">
        <v>62</v>
      </c>
      <c r="D87" s="39">
        <v>1027</v>
      </c>
      <c r="E87" s="39">
        <f>_xlfn.XLOOKUP(B87,$B$2:$B$37,$F$2:$F$37,,0)</f>
        <v>1000</v>
      </c>
      <c r="F87" s="46">
        <f>_xlfn.XLOOKUP(B87,$B$2:$B$37,$J$2:$J$37)</f>
        <v>0.11019999999999999</v>
      </c>
      <c r="G87" s="42">
        <v>1</v>
      </c>
      <c r="H87" s="43">
        <f ca="1">TODAY()-91</f>
        <v>45919</v>
      </c>
      <c r="I87" s="42">
        <f ca="1">TODAY()-H87</f>
        <v>91</v>
      </c>
      <c r="J87" s="42">
        <v>1040</v>
      </c>
      <c r="K87" s="42">
        <f ca="1">E87*F87*I87/365</f>
        <v>27.474520547945204</v>
      </c>
      <c r="L87" s="44">
        <f ca="1">(J87-D87)*G87 + K87</f>
        <v>40.474520547945204</v>
      </c>
      <c r="M87" s="45">
        <f ca="1">L87/D87</f>
        <v>3.9410438702965143E-2</v>
      </c>
      <c r="N87" s="45">
        <f>D87/$D$67</f>
        <v>8.3428581641000393E-2</v>
      </c>
      <c r="O87" s="42">
        <f>_xlfn.XLOOKUP(B87,$B$2:$B$37,$U$2:$U$37,,0)</f>
        <v>2.4705440096411748</v>
      </c>
      <c r="P87" s="42">
        <f>O87*N87</f>
        <v>0.20611398260603322</v>
      </c>
    </row>
    <row r="88" spans="2:16" hidden="1" x14ac:dyDescent="0.25">
      <c r="B88" s="39" t="s">
        <v>71</v>
      </c>
      <c r="C88" s="39" t="s">
        <v>72</v>
      </c>
      <c r="D88" s="39">
        <v>1014.29</v>
      </c>
      <c r="E88" s="39">
        <f>_xlfn.XLOOKUP(B88,$B$2:$B$37,$F$2:$F$37,,0)</f>
        <v>1000</v>
      </c>
      <c r="F88" s="46">
        <f>_xlfn.XLOOKUP(B88,$B$2:$B$37,$J$2:$J$37)</f>
        <v>0.10300000000000001</v>
      </c>
      <c r="G88" s="42">
        <v>1</v>
      </c>
      <c r="H88" s="43">
        <f ca="1">TODAY()-91</f>
        <v>45919</v>
      </c>
      <c r="I88" s="42">
        <f ca="1">TODAY()-H88</f>
        <v>91</v>
      </c>
      <c r="J88" s="42">
        <v>1020</v>
      </c>
      <c r="K88" s="42">
        <f ca="1">E88*F88*I88/365</f>
        <v>25.679452054794524</v>
      </c>
      <c r="L88" s="44">
        <f ca="1">(J88-D88)*G88 + K88</f>
        <v>31.38945205479456</v>
      </c>
      <c r="M88" s="45">
        <f ca="1">L88/D88</f>
        <v>3.0947216333390412E-2</v>
      </c>
      <c r="N88" s="45">
        <f>D88/$D$67</f>
        <v>8.2396081862366397E-2</v>
      </c>
      <c r="O88" s="42">
        <f>_xlfn.XLOOKUP(B88,$B$2:$B$37,$U$2:$U$37,,0)</f>
        <v>2.5594665157957865</v>
      </c>
      <c r="P88" s="42">
        <f>O88*N88</f>
        <v>0.21089001255949533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00B7-1B02-43FE-995D-D152750C1BF8}">
  <dimension ref="A1:AF809"/>
  <sheetViews>
    <sheetView zoomScale="90" zoomScaleNormal="90" workbookViewId="0">
      <pane ySplit="3" topLeftCell="A4" activePane="bottomLeft" state="frozen"/>
      <selection pane="bottomLeft" activeCell="A281" sqref="A281"/>
    </sheetView>
  </sheetViews>
  <sheetFormatPr defaultColWidth="8.85546875" defaultRowHeight="15" x14ac:dyDescent="0.25"/>
  <cols>
    <col min="1" max="1" width="13.85546875" customWidth="1"/>
    <col min="2" max="2" width="73.42578125" bestFit="1" customWidth="1"/>
    <col min="3" max="3" width="16" bestFit="1" customWidth="1"/>
    <col min="4" max="4" width="14.85546875" bestFit="1" customWidth="1"/>
    <col min="5" max="5" width="18.28515625" bestFit="1" customWidth="1"/>
    <col min="6" max="6" width="15" bestFit="1" customWidth="1"/>
    <col min="7" max="7" width="24.7109375" bestFit="1" customWidth="1"/>
    <col min="8" max="8" width="14" bestFit="1" customWidth="1"/>
    <col min="9" max="9" width="20" bestFit="1" customWidth="1"/>
    <col min="10" max="10" width="24" bestFit="1" customWidth="1"/>
    <col min="11" max="11" width="18.140625" bestFit="1" customWidth="1"/>
    <col min="12" max="12" width="21.85546875" bestFit="1" customWidth="1"/>
    <col min="13" max="13" width="22.140625" bestFit="1" customWidth="1"/>
    <col min="14" max="14" width="21.42578125" bestFit="1" customWidth="1"/>
    <col min="15" max="15" width="44.85546875" bestFit="1" customWidth="1"/>
    <col min="16" max="16" width="15.28515625" bestFit="1" customWidth="1"/>
    <col min="17" max="17" width="14.140625" bestFit="1" customWidth="1"/>
    <col min="18" max="18" width="28.140625" bestFit="1" customWidth="1"/>
    <col min="19" max="19" width="23.42578125" bestFit="1" customWidth="1"/>
    <col min="20" max="20" width="24.42578125" bestFit="1" customWidth="1"/>
    <col min="21" max="21" width="20.42578125" bestFit="1" customWidth="1"/>
    <col min="22" max="22" width="19.42578125" customWidth="1"/>
    <col min="23" max="23" width="22.28515625" style="25" bestFit="1" customWidth="1"/>
    <col min="24" max="24" width="17.140625" style="24" bestFit="1" customWidth="1"/>
    <col min="25" max="25" width="30.140625" bestFit="1" customWidth="1"/>
    <col min="26" max="26" width="29.85546875" bestFit="1" customWidth="1"/>
    <col min="27" max="28" width="25" bestFit="1" customWidth="1"/>
    <col min="29" max="29" width="18.85546875" bestFit="1" customWidth="1"/>
    <col min="30" max="30" width="15.28515625" bestFit="1" customWidth="1"/>
    <col min="31" max="31" width="14.42578125" bestFit="1" customWidth="1"/>
    <col min="32" max="32" width="24.7109375" bestFit="1" customWidth="1"/>
  </cols>
  <sheetData>
    <row r="1" spans="1:32" ht="15.75" thickBot="1" x14ac:dyDescent="0.3">
      <c r="A1" s="97" t="s">
        <v>112</v>
      </c>
      <c r="B1" s="98"/>
      <c r="C1" s="98"/>
      <c r="D1" s="98"/>
      <c r="E1" s="98"/>
      <c r="F1" s="98"/>
      <c r="G1" s="98"/>
      <c r="H1" s="98"/>
      <c r="I1" s="98"/>
      <c r="J1" s="98"/>
      <c r="K1" s="98"/>
      <c r="L1" s="98"/>
      <c r="M1" s="98"/>
      <c r="N1" s="98"/>
      <c r="O1" s="98"/>
      <c r="P1" s="98"/>
      <c r="Q1" s="99"/>
      <c r="R1" s="100" t="s">
        <v>113</v>
      </c>
      <c r="S1" s="101"/>
      <c r="T1" s="101"/>
      <c r="U1" s="101"/>
      <c r="V1" s="101"/>
      <c r="W1" s="101"/>
      <c r="X1" s="101"/>
      <c r="Y1" s="101"/>
      <c r="Z1" s="101"/>
      <c r="AA1" s="101"/>
      <c r="AB1" s="101"/>
      <c r="AC1" s="101"/>
      <c r="AD1" s="101"/>
      <c r="AE1" s="101"/>
      <c r="AF1" s="102"/>
    </row>
    <row r="2" spans="1:32" s="8" customFormat="1" ht="16.5" thickBot="1" x14ac:dyDescent="0.3">
      <c r="W2" s="9" t="s">
        <v>114</v>
      </c>
      <c r="X2" s="10" t="s">
        <v>115</v>
      </c>
      <c r="Y2" s="9" t="s">
        <v>116</v>
      </c>
      <c r="Z2" s="9" t="s">
        <v>117</v>
      </c>
      <c r="AA2" s="9" t="s">
        <v>118</v>
      </c>
      <c r="AC2" s="8" t="s">
        <v>119</v>
      </c>
      <c r="AD2" s="11">
        <v>100</v>
      </c>
      <c r="AE2" s="12">
        <f>AD2/10000</f>
        <v>0.01</v>
      </c>
      <c r="AF2" s="9"/>
    </row>
    <row r="3" spans="1:32" x14ac:dyDescent="0.25">
      <c r="A3" s="13" t="s">
        <v>0</v>
      </c>
      <c r="B3" s="13" t="s">
        <v>1</v>
      </c>
      <c r="C3" s="13" t="s">
        <v>2</v>
      </c>
      <c r="D3" s="13" t="s">
        <v>3</v>
      </c>
      <c r="E3" s="13" t="s">
        <v>4</v>
      </c>
      <c r="F3" s="13" t="s">
        <v>5</v>
      </c>
      <c r="G3" s="13" t="s">
        <v>6</v>
      </c>
      <c r="H3" s="13" t="s">
        <v>7</v>
      </c>
      <c r="I3" s="13" t="s">
        <v>8</v>
      </c>
      <c r="J3" s="13" t="s">
        <v>9</v>
      </c>
      <c r="K3" s="13" t="s">
        <v>10</v>
      </c>
      <c r="L3" s="13" t="s">
        <v>11</v>
      </c>
      <c r="M3" s="13" t="s">
        <v>12</v>
      </c>
      <c r="N3" s="13" t="s">
        <v>13</v>
      </c>
      <c r="O3" s="13" t="s">
        <v>14</v>
      </c>
      <c r="P3" s="13" t="s">
        <v>15</v>
      </c>
      <c r="Q3" s="13" t="s">
        <v>16</v>
      </c>
      <c r="R3" s="14" t="s">
        <v>120</v>
      </c>
      <c r="S3" s="14" t="s">
        <v>121</v>
      </c>
      <c r="T3" s="14" t="s">
        <v>122</v>
      </c>
      <c r="U3" s="14" t="s">
        <v>123</v>
      </c>
      <c r="V3" s="14" t="s">
        <v>110</v>
      </c>
      <c r="W3" s="15" t="s">
        <v>124</v>
      </c>
      <c r="X3" s="16" t="s">
        <v>125</v>
      </c>
      <c r="Y3" s="14" t="s">
        <v>126</v>
      </c>
      <c r="Z3" s="14" t="s">
        <v>127</v>
      </c>
      <c r="AA3" s="17" t="s">
        <v>128</v>
      </c>
      <c r="AB3" s="18" t="s">
        <v>129</v>
      </c>
      <c r="AC3" s="18" t="s">
        <v>130</v>
      </c>
      <c r="AD3" s="19" t="s">
        <v>131</v>
      </c>
      <c r="AE3" s="19" t="s">
        <v>132</v>
      </c>
      <c r="AF3" s="20" t="s">
        <v>133</v>
      </c>
    </row>
    <row r="4" spans="1:32" x14ac:dyDescent="0.25">
      <c r="A4" s="21" t="s">
        <v>32</v>
      </c>
      <c r="B4" s="3" t="s">
        <v>33</v>
      </c>
      <c r="C4" s="3" t="s">
        <v>19</v>
      </c>
      <c r="D4" s="4">
        <v>45008</v>
      </c>
      <c r="E4" s="4">
        <v>46104</v>
      </c>
      <c r="F4" s="3">
        <v>1000</v>
      </c>
      <c r="G4" s="3" t="s">
        <v>20</v>
      </c>
      <c r="H4" s="3">
        <v>331.1</v>
      </c>
      <c r="I4" s="3" t="s">
        <v>20</v>
      </c>
      <c r="J4" s="3">
        <v>33.11</v>
      </c>
      <c r="K4" s="3">
        <v>11</v>
      </c>
      <c r="L4" s="5">
        <v>9.9000000000000005E-2</v>
      </c>
      <c r="M4" s="3" t="s">
        <v>21</v>
      </c>
      <c r="N4" s="3">
        <v>187</v>
      </c>
      <c r="O4" s="6">
        <f>Table1[[#This Row],[Current coupon %]]*Table1[[#This Row],[Face value]]/Table1[[#This Row],[Ask Price]]</f>
        <v>0.29900332225913617</v>
      </c>
      <c r="P4" s="3" t="s">
        <v>25</v>
      </c>
      <c r="Q4" s="3" t="s">
        <v>22</v>
      </c>
      <c r="R4">
        <f t="shared" ref="R4:R67" si="0">ROUND(YEARFRAC(D4,E4),0)</f>
        <v>3</v>
      </c>
      <c r="S4" s="22" cm="1">
        <f t="array" ref="S4">_xlfn.IFS(Table1[[#This Row],[Coupon frequency]]="Semi-annual",2,Table1[[#This Row],[Coupon frequency]]="Quarterly",4,Table1[[#This Row],[Coupon frequency]]="Annual",1,Table1[[#This Row],[Coupon frequency]]="Every 4 months",3,Table1[[#This Row],[Coupon frequency]]="Monthly",12)</f>
        <v>1</v>
      </c>
      <c r="T4">
        <f>Table1[[#This Row],[Term to Maturity (Years)]]*Table1[[#This Row],[Coupon Frequency2]]</f>
        <v>3</v>
      </c>
      <c r="U4">
        <f>Table1[[#This Row],[Face value]]*Table1[[#This Row],[Current coupon %]]/Table1[[#This Row],[Coupon Frequency2]]</f>
        <v>99</v>
      </c>
      <c r="V4" s="23">
        <f>RATE(Table1[[#This Row],[Total No. of Coupons]],Table1[[#This Row],[Coupon Amount]],-Table1[[#This Row],[Ask Price]],Table1[[#This Row],[Face value]])</f>
        <v>0.66929261215648705</v>
      </c>
      <c r="W4" s="24">
        <f>Table1[[#This Row],[IRR]]*Table1[[#This Row],[Coupon Frequency2]]</f>
        <v>0.66929261215648705</v>
      </c>
      <c r="X4" s="25" cm="1">
        <f t="array" ref="X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14</v>
      </c>
      <c r="Y4" s="26">
        <f>DURATION(Table1[[#This Row],[Issue date]],Table1[[#This Row],[Maturity date]],Table1[[#This Row],[Current coupon %]],Table1[[#This Row],[Yield (Annualised)]],Table1[[#This Row],[Coupon Frequency2]])</f>
        <v>2.5344576397509075</v>
      </c>
      <c r="Z4" s="26">
        <f>Table1[[#This Row],[Macaulay Duration in Years]]/(1+Table1[[#This Row],[IRR]])</f>
        <v>1.5182824277145461</v>
      </c>
      <c r="AA4" s="27">
        <f>VLOOKUP(Table1[[#This Row],[Yield Cluster]],'[1]Cluster Details'!$B$3:$C$16,2,0)</f>
        <v>0.66178549607419423</v>
      </c>
      <c r="AB4" s="28">
        <f>PRICE(Table1[[#This Row],[Issue date]],Table1[[#This Row],[Maturity date]],Table1[[#This Row],[Current coupon %]],Table1[[#This Row],[Average Cluster Yield]],100,Table1[[#This Row],[Coupon Frequency2]])*Table1[[#This Row],[Face value]]/100</f>
        <v>334.90611230449872</v>
      </c>
      <c r="AC4" s="27" t="str">
        <f>IF(Table1[[#This Row],[Ask Price]]&gt;Table1[[#This Row],[Calculated Bond Price]],"Rich","Cheap")</f>
        <v>Cheap</v>
      </c>
      <c r="AD4" s="28">
        <f>PRICE(Table1[[#This Row],[Issue date]],Table1[[#This Row],[Maturity date]],Table1[[#This Row],[Current coupon %]],Table1[[#This Row],[Yield (Annualised)]]+$AE$2,100,Table1[[#This Row],[Coupon Frequency2]])*Table1[[#This Row],[Face value]]/100</f>
        <v>326.12924667279935</v>
      </c>
      <c r="AE4" s="28">
        <f>PRICE(Table1[[#This Row],[Issue date]],Table1[[#This Row],[Maturity date]],Table1[[#This Row],[Current coupon %]],Table1[[#This Row],[Yield (Annualised)]]-$AE$2,100,Table1[[#This Row],[Coupon Frequency2]])*Table1[[#This Row],[Face value]]/100</f>
        <v>336.1844154503076</v>
      </c>
      <c r="AF4" s="28">
        <f>(Table1[[#This Row],[P (+ shock)]]+Table1[[#This Row],[P (-shock)]]-2*Table1[[#This Row],[Ask Price]])/(2*Table1[[#This Row],[Ask Price]]*($AE$2^2))</f>
        <v>1.7164319406056434</v>
      </c>
    </row>
    <row r="5" spans="1:32" x14ac:dyDescent="0.25">
      <c r="A5" s="21" t="s">
        <v>134</v>
      </c>
      <c r="B5" s="3" t="s">
        <v>135</v>
      </c>
      <c r="C5" s="3" t="s">
        <v>19</v>
      </c>
      <c r="D5" s="4">
        <v>44923</v>
      </c>
      <c r="E5" s="4">
        <v>46019</v>
      </c>
      <c r="F5" s="3">
        <v>1000</v>
      </c>
      <c r="G5" s="3" t="s">
        <v>20</v>
      </c>
      <c r="H5" s="3">
        <v>364.9</v>
      </c>
      <c r="I5" s="3" t="s">
        <v>20</v>
      </c>
      <c r="J5" s="3">
        <v>36.49</v>
      </c>
      <c r="K5" s="3">
        <v>6</v>
      </c>
      <c r="L5" s="5">
        <v>9.5500000000000002E-2</v>
      </c>
      <c r="M5" s="3" t="s">
        <v>21</v>
      </c>
      <c r="N5" s="3">
        <v>102</v>
      </c>
      <c r="O5" s="6">
        <f>Table1[[#This Row],[Current coupon %]]*Table1[[#This Row],[Face value]]/Table1[[#This Row],[Ask Price]]</f>
        <v>0.26171553850369966</v>
      </c>
      <c r="P5" s="3" t="s">
        <v>25</v>
      </c>
      <c r="Q5" s="3" t="s">
        <v>22</v>
      </c>
      <c r="R5">
        <f t="shared" si="0"/>
        <v>3</v>
      </c>
      <c r="S5" s="22" cm="1">
        <f t="array" ref="S5">_xlfn.IFS(Table1[[#This Row],[Coupon frequency]]="Semi-annual",2,Table1[[#This Row],[Coupon frequency]]="Quarterly",4,Table1[[#This Row],[Coupon frequency]]="Annual",1,Table1[[#This Row],[Coupon frequency]]="Every 4 months",3,Table1[[#This Row],[Coupon frequency]]="Monthly",12)</f>
        <v>1</v>
      </c>
      <c r="T5">
        <f>Table1[[#This Row],[Term to Maturity (Years)]]*Table1[[#This Row],[Coupon Frequency2]]</f>
        <v>3</v>
      </c>
      <c r="U5">
        <f>Table1[[#This Row],[Face value]]*Table1[[#This Row],[Current coupon %]]/Table1[[#This Row],[Coupon Frequency2]]</f>
        <v>95.5</v>
      </c>
      <c r="V5" s="23">
        <f>RATE(Table1[[#This Row],[Total No. of Coupons]],Table1[[#This Row],[Coupon Amount]],-Table1[[#This Row],[Ask Price]],Table1[[#This Row],[Face value]])</f>
        <v>0.59922901781544768</v>
      </c>
      <c r="W5" s="24">
        <f>Table1[[#This Row],[IRR]]*Table1[[#This Row],[Coupon Frequency2]]</f>
        <v>0.59922901781544768</v>
      </c>
      <c r="X5" s="25" cm="1">
        <f t="array" ref="X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12</v>
      </c>
      <c r="Y5" s="26">
        <f>DURATION(Table1[[#This Row],[Issue date]],Table1[[#This Row],[Maturity date]],Table1[[#This Row],[Current coupon %]],Table1[[#This Row],[Yield (Annualised)]],Table1[[#This Row],[Coupon Frequency2]])</f>
        <v>2.5703666338867852</v>
      </c>
      <c r="Z5" s="26">
        <f>Table1[[#This Row],[Macaulay Duration in Years]]/(1+Table1[[#This Row],[IRR]])</f>
        <v>1.6072536236229098</v>
      </c>
      <c r="AA5" s="27">
        <f>VLOOKUP(Table1[[#This Row],[Yield Cluster]],'[1]Cluster Details'!$B$3:$C$16,2,0)</f>
        <v>0.57774971389832552</v>
      </c>
      <c r="AB5" s="28">
        <f>PRICE(Table1[[#This Row],[Issue date]],Table1[[#This Row],[Maturity date]],Table1[[#This Row],[Current coupon %]],Table1[[#This Row],[Average Cluster Yield]],100,Table1[[#This Row],[Coupon Frequency2]])*Table1[[#This Row],[Face value]]/100</f>
        <v>377.82534867834931</v>
      </c>
      <c r="AC5" s="27" t="str">
        <f>IF(Table1[[#This Row],[Ask Price]]&gt;Table1[[#This Row],[Calculated Bond Price]],"Rich","Cheap")</f>
        <v>Cheap</v>
      </c>
      <c r="AD5" s="28">
        <f>PRICE(Table1[[#This Row],[Issue date]],Table1[[#This Row],[Maturity date]],Table1[[#This Row],[Current coupon %]],Table1[[#This Row],[Yield (Annualised)]]+$AE$2,100,Table1[[#This Row],[Coupon Frequency2]])*Table1[[#This Row],[Face value]]/100</f>
        <v>359.10398326704455</v>
      </c>
      <c r="AE5" s="28">
        <f>PRICE(Table1[[#This Row],[Issue date]],Table1[[#This Row],[Maturity date]],Table1[[#This Row],[Current coupon %]],Table1[[#This Row],[Yield (Annualised)]]-$AE$2,100,Table1[[#This Row],[Coupon Frequency2]])*Table1[[#This Row],[Face value]]/100</f>
        <v>370.83513228209523</v>
      </c>
      <c r="AF5" s="28">
        <f>(Table1[[#This Row],[P (+ shock)]]+Table1[[#This Row],[P (-shock)]]-2*Table1[[#This Row],[Ask Price]])/(2*Table1[[#This Row],[Ask Price]]*($AE$2^2))</f>
        <v>1.906214704575057</v>
      </c>
    </row>
    <row r="6" spans="1:32" x14ac:dyDescent="0.25">
      <c r="A6" s="21" t="s">
        <v>26</v>
      </c>
      <c r="B6" s="3" t="s">
        <v>27</v>
      </c>
      <c r="C6" s="3" t="s">
        <v>19</v>
      </c>
      <c r="D6" s="4">
        <v>44959</v>
      </c>
      <c r="E6" s="4">
        <v>46785</v>
      </c>
      <c r="F6" s="3">
        <v>1000</v>
      </c>
      <c r="G6" s="3" t="s">
        <v>20</v>
      </c>
      <c r="H6" s="3">
        <v>405</v>
      </c>
      <c r="I6" s="3" t="s">
        <v>20</v>
      </c>
      <c r="J6" s="3">
        <v>40.5</v>
      </c>
      <c r="K6" s="3">
        <v>50</v>
      </c>
      <c r="L6" s="5">
        <v>0.10300000000000001</v>
      </c>
      <c r="M6" s="3" t="s">
        <v>21</v>
      </c>
      <c r="N6" s="3">
        <v>868</v>
      </c>
      <c r="O6" s="6">
        <f>Table1[[#This Row],[Current coupon %]]*Table1[[#This Row],[Face value]]/Table1[[#This Row],[Ask Price]]</f>
        <v>0.25432098765432104</v>
      </c>
      <c r="P6" s="3"/>
      <c r="Q6" s="3" t="s">
        <v>22</v>
      </c>
      <c r="R6">
        <f t="shared" si="0"/>
        <v>5</v>
      </c>
      <c r="S6" s="22" cm="1">
        <f t="array" ref="S6">_xlfn.IFS(Table1[[#This Row],[Coupon frequency]]="Semi-annual",2,Table1[[#This Row],[Coupon frequency]]="Quarterly",4,Table1[[#This Row],[Coupon frequency]]="Annual",1,Table1[[#This Row],[Coupon frequency]]="Every 4 months",3,Table1[[#This Row],[Coupon frequency]]="Monthly",12)</f>
        <v>1</v>
      </c>
      <c r="T6">
        <f>Table1[[#This Row],[Term to Maturity (Years)]]*Table1[[#This Row],[Coupon Frequency2]]</f>
        <v>5</v>
      </c>
      <c r="U6">
        <f>Table1[[#This Row],[Face value]]*Table1[[#This Row],[Current coupon %]]/Table1[[#This Row],[Coupon Frequency2]]</f>
        <v>103.00000000000001</v>
      </c>
      <c r="V6" s="23">
        <f>RATE(Table1[[#This Row],[Total No. of Coupons]],Table1[[#This Row],[Coupon Amount]],-Table1[[#This Row],[Ask Price]],Table1[[#This Row],[Face value]])</f>
        <v>0.39087622394758004</v>
      </c>
      <c r="W6" s="24">
        <f>Table1[[#This Row],[IRR]]*Table1[[#This Row],[Coupon Frequency2]]</f>
        <v>0.39087622394758004</v>
      </c>
      <c r="X6" s="25" cm="1">
        <f t="array" ref="X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8</v>
      </c>
      <c r="Y6" s="26">
        <f>DURATION(Table1[[#This Row],[Issue date]],Table1[[#This Row],[Maturity date]],Table1[[#This Row],[Current coupon %]],Table1[[#This Row],[Yield (Annualised)]],Table1[[#This Row],[Coupon Frequency2]])</f>
        <v>3.6172185165481006</v>
      </c>
      <c r="Z6" s="26">
        <f>Table1[[#This Row],[Macaulay Duration in Years]]/(1+Table1[[#This Row],[IRR]])</f>
        <v>2.6006760733041534</v>
      </c>
      <c r="AA6" s="27">
        <f>VLOOKUP(Table1[[#This Row],[Yield Cluster]],'[1]Cluster Details'!$B$3:$C$16,2,0)</f>
        <v>0.37868966038993918</v>
      </c>
      <c r="AB6" s="28">
        <f>PRICE(Table1[[#This Row],[Issue date]],Table1[[#This Row],[Maturity date]],Table1[[#This Row],[Current coupon %]],Table1[[#This Row],[Average Cluster Yield]],100,Table1[[#This Row],[Coupon Frequency2]])*Table1[[#This Row],[Face value]]/100</f>
        <v>418.1424169426823</v>
      </c>
      <c r="AC6" s="27" t="str">
        <f>IF(Table1[[#This Row],[Ask Price]]&gt;Table1[[#This Row],[Calculated Bond Price]],"Rich","Cheap")</f>
        <v>Cheap</v>
      </c>
      <c r="AD6" s="28">
        <f>PRICE(Table1[[#This Row],[Issue date]],Table1[[#This Row],[Maturity date]],Table1[[#This Row],[Current coupon %]],Table1[[#This Row],[Yield (Annualised)]]+$AE$2,100,Table1[[#This Row],[Coupon Frequency2]])*Table1[[#This Row],[Face value]]/100</f>
        <v>394.66658388170117</v>
      </c>
      <c r="AE6" s="28">
        <f>PRICE(Table1[[#This Row],[Issue date]],Table1[[#This Row],[Maturity date]],Table1[[#This Row],[Current coupon %]],Table1[[#This Row],[Yield (Annualised)]]-$AE$2,100,Table1[[#This Row],[Coupon Frequency2]])*Table1[[#This Row],[Face value]]/100</f>
        <v>415.73848095045685</v>
      </c>
      <c r="AF6" s="28">
        <f>(Table1[[#This Row],[P (+ shock)]]+Table1[[#This Row],[P (-shock)]]-2*Table1[[#This Row],[Ask Price]])/(2*Table1[[#This Row],[Ask Price]]*($AE$2^2))</f>
        <v>5.0008003970125721</v>
      </c>
    </row>
    <row r="7" spans="1:32" x14ac:dyDescent="0.25">
      <c r="A7" s="21" t="s">
        <v>55</v>
      </c>
      <c r="B7" s="3" t="s">
        <v>56</v>
      </c>
      <c r="C7" s="3" t="s">
        <v>19</v>
      </c>
      <c r="D7" s="4">
        <v>44959</v>
      </c>
      <c r="E7" s="4">
        <v>46055</v>
      </c>
      <c r="F7" s="3">
        <v>1000</v>
      </c>
      <c r="G7" s="3" t="s">
        <v>20</v>
      </c>
      <c r="H7" s="3">
        <v>400.8</v>
      </c>
      <c r="I7" s="3" t="s">
        <v>20</v>
      </c>
      <c r="J7" s="3">
        <v>40.08</v>
      </c>
      <c r="K7" s="3">
        <v>10</v>
      </c>
      <c r="L7" s="5">
        <v>0.10050000000000001</v>
      </c>
      <c r="M7" s="3" t="s">
        <v>21</v>
      </c>
      <c r="N7" s="3">
        <v>138</v>
      </c>
      <c r="O7" s="6">
        <f>Table1[[#This Row],[Current coupon %]]*Table1[[#This Row],[Face value]]/Table1[[#This Row],[Ask Price]]</f>
        <v>0.25074850299401197</v>
      </c>
      <c r="P7" s="3"/>
      <c r="Q7" s="3" t="s">
        <v>22</v>
      </c>
      <c r="R7">
        <f t="shared" si="0"/>
        <v>3</v>
      </c>
      <c r="S7" s="22" cm="1">
        <f t="array" ref="S7">_xlfn.IFS(Table1[[#This Row],[Coupon frequency]]="Semi-annual",2,Table1[[#This Row],[Coupon frequency]]="Quarterly",4,Table1[[#This Row],[Coupon frequency]]="Annual",1,Table1[[#This Row],[Coupon frequency]]="Every 4 months",3,Table1[[#This Row],[Coupon frequency]]="Monthly",12)</f>
        <v>1</v>
      </c>
      <c r="T7">
        <f>Table1[[#This Row],[Term to Maturity (Years)]]*Table1[[#This Row],[Coupon Frequency2]]</f>
        <v>3</v>
      </c>
      <c r="U7">
        <f>Table1[[#This Row],[Face value]]*Table1[[#This Row],[Current coupon %]]/Table1[[#This Row],[Coupon Frequency2]]</f>
        <v>100.5</v>
      </c>
      <c r="V7" s="23">
        <f>RATE(Table1[[#This Row],[Total No. of Coupons]],Table1[[#This Row],[Coupon Amount]],-Table1[[#This Row],[Ask Price]],Table1[[#This Row],[Face value]])</f>
        <v>0.5520952767503059</v>
      </c>
      <c r="W7" s="24">
        <f>Table1[[#This Row],[IRR]]*Table1[[#This Row],[Coupon Frequency2]]</f>
        <v>0.5520952767503059</v>
      </c>
      <c r="X7" s="25" cm="1">
        <f t="array" ref="X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12</v>
      </c>
      <c r="Y7" s="26">
        <f>DURATION(Table1[[#This Row],[Issue date]],Table1[[#This Row],[Maturity date]],Table1[[#This Row],[Current coupon %]],Table1[[#This Row],[Yield (Annualised)]],Table1[[#This Row],[Coupon Frequency2]])</f>
        <v>2.5728020984229345</v>
      </c>
      <c r="Z7" s="26">
        <f>Table1[[#This Row],[Macaulay Duration in Years]]/(1+Table1[[#This Row],[IRR]])</f>
        <v>1.6576315494044478</v>
      </c>
      <c r="AA7" s="27">
        <f>VLOOKUP(Table1[[#This Row],[Yield Cluster]],'[1]Cluster Details'!$B$3:$C$16,2,0)</f>
        <v>0.57774971389832552</v>
      </c>
      <c r="AB7" s="28">
        <f>PRICE(Table1[[#This Row],[Issue date]],Table1[[#This Row],[Maturity date]],Table1[[#This Row],[Current coupon %]],Table1[[#This Row],[Average Cluster Yield]],100,Table1[[#This Row],[Coupon Frequency2]])*Table1[[#This Row],[Face value]]/100</f>
        <v>384.27610057504018</v>
      </c>
      <c r="AC7" s="27" t="str">
        <f>IF(Table1[[#This Row],[Ask Price]]&gt;Table1[[#This Row],[Calculated Bond Price]],"Rich","Cheap")</f>
        <v>Rich</v>
      </c>
      <c r="AD7" s="28">
        <f>PRICE(Table1[[#This Row],[Issue date]],Table1[[#This Row],[Maturity date]],Table1[[#This Row],[Current coupon %]],Table1[[#This Row],[Yield (Annualised)]]+$AE$2,100,Table1[[#This Row],[Coupon Frequency2]])*Table1[[#This Row],[Face value]]/100</f>
        <v>394.23656251183434</v>
      </c>
      <c r="AE7" s="28">
        <f>PRICE(Table1[[#This Row],[Issue date]],Table1[[#This Row],[Maturity date]],Table1[[#This Row],[Current coupon %]],Table1[[#This Row],[Yield (Annualised)]]-$AE$2,100,Table1[[#This Row],[Coupon Frequency2]])*Table1[[#This Row],[Face value]]/100</f>
        <v>407.52583543397009</v>
      </c>
      <c r="AF7" s="28">
        <f>(Table1[[#This Row],[P (+ shock)]]+Table1[[#This Row],[P (-shock)]]-2*Table1[[#This Row],[Ask Price]])/(2*Table1[[#This Row],[Ask Price]]*($AE$2^2))</f>
        <v>2.0259224775998059</v>
      </c>
    </row>
    <row r="8" spans="1:32" x14ac:dyDescent="0.25">
      <c r="A8" s="21" t="s">
        <v>136</v>
      </c>
      <c r="B8" s="3" t="s">
        <v>137</v>
      </c>
      <c r="C8" s="3" t="s">
        <v>19</v>
      </c>
      <c r="D8" s="4">
        <v>45233</v>
      </c>
      <c r="E8" s="4">
        <v>46291</v>
      </c>
      <c r="F8" s="3">
        <v>1000</v>
      </c>
      <c r="G8" s="3" t="s">
        <v>20</v>
      </c>
      <c r="H8" s="3">
        <v>570</v>
      </c>
      <c r="I8" s="3" t="s">
        <v>20</v>
      </c>
      <c r="J8" s="3">
        <v>56.999999999999901</v>
      </c>
      <c r="K8" s="3">
        <v>12</v>
      </c>
      <c r="L8" s="5">
        <v>9.9000000000000005E-2</v>
      </c>
      <c r="M8" s="3" t="s">
        <v>21</v>
      </c>
      <c r="N8" s="3">
        <v>374</v>
      </c>
      <c r="O8" s="6">
        <f>Table1[[#This Row],[Current coupon %]]*Table1[[#This Row],[Face value]]/Table1[[#This Row],[Ask Price]]</f>
        <v>0.1736842105263158</v>
      </c>
      <c r="P8" s="3" t="s">
        <v>25</v>
      </c>
      <c r="Q8" s="3" t="s">
        <v>22</v>
      </c>
      <c r="R8">
        <f t="shared" si="0"/>
        <v>3</v>
      </c>
      <c r="S8" s="22" cm="1">
        <f t="array" ref="S8">_xlfn.IFS(Table1[[#This Row],[Coupon frequency]]="Semi-annual",2,Table1[[#This Row],[Coupon frequency]]="Quarterly",4,Table1[[#This Row],[Coupon frequency]]="Annual",1,Table1[[#This Row],[Coupon frequency]]="Every 4 months",3,Table1[[#This Row],[Coupon frequency]]="Monthly",12)</f>
        <v>1</v>
      </c>
      <c r="T8">
        <f>Table1[[#This Row],[Term to Maturity (Years)]]*Table1[[#This Row],[Coupon Frequency2]]</f>
        <v>3</v>
      </c>
      <c r="U8">
        <f>Table1[[#This Row],[Face value]]*Table1[[#This Row],[Current coupon %]]/Table1[[#This Row],[Coupon Frequency2]]</f>
        <v>99</v>
      </c>
      <c r="V8" s="23">
        <f>RATE(Table1[[#This Row],[Total No. of Coupons]],Table1[[#This Row],[Coupon Amount]],-Table1[[#This Row],[Ask Price]],Table1[[#This Row],[Face value]])</f>
        <v>0.35386546424883997</v>
      </c>
      <c r="W8" s="24">
        <f>Table1[[#This Row],[IRR]]*Table1[[#This Row],[Coupon Frequency2]]</f>
        <v>0.35386546424883997</v>
      </c>
      <c r="X8" s="25" cm="1">
        <f t="array" ref="X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8</v>
      </c>
      <c r="Y8" s="26">
        <f>DURATION(Table1[[#This Row],[Issue date]],Table1[[#This Row],[Maturity date]],Table1[[#This Row],[Current coupon %]],Table1[[#This Row],[Yield (Annualised)]],Table1[[#This Row],[Coupon Frequency2]])</f>
        <v>2.5458903672604674</v>
      </c>
      <c r="Z8" s="26">
        <f>Table1[[#This Row],[Macaulay Duration in Years]]/(1+Table1[[#This Row],[IRR]])</f>
        <v>1.8804603813961633</v>
      </c>
      <c r="AA8" s="27">
        <f>VLOOKUP(Table1[[#This Row],[Yield Cluster]],'[1]Cluster Details'!$B$3:$C$16,2,0)</f>
        <v>0.37868966038993918</v>
      </c>
      <c r="AB8" s="28">
        <f>PRICE(Table1[[#This Row],[Issue date]],Table1[[#This Row],[Maturity date]],Table1[[#This Row],[Current coupon %]],Table1[[#This Row],[Average Cluster Yield]],100,Table1[[#This Row],[Coupon Frequency2]])*Table1[[#This Row],[Face value]]/100</f>
        <v>551.31655584685791</v>
      </c>
      <c r="AC8" s="27" t="str">
        <f>IF(Table1[[#This Row],[Ask Price]]&gt;Table1[[#This Row],[Calculated Bond Price]],"Rich","Cheap")</f>
        <v>Rich</v>
      </c>
      <c r="AD8" s="28">
        <f>PRICE(Table1[[#This Row],[Issue date]],Table1[[#This Row],[Maturity date]],Table1[[#This Row],[Current coupon %]],Table1[[#This Row],[Yield (Annualised)]]+$AE$2,100,Table1[[#This Row],[Coupon Frequency2]])*Table1[[#This Row],[Face value]]/100</f>
        <v>566.94601048741208</v>
      </c>
      <c r="AE8" s="28">
        <f>PRICE(Table1[[#This Row],[Issue date]],Table1[[#This Row],[Maturity date]],Table1[[#This Row],[Current coupon %]],Table1[[#This Row],[Yield (Annualised)]]-$AE$2,100,Table1[[#This Row],[Coupon Frequency2]])*Table1[[#This Row],[Face value]]/100</f>
        <v>589.06487600344633</v>
      </c>
      <c r="AF8" s="28">
        <f>(Table1[[#This Row],[P (+ shock)]]+Table1[[#This Row],[P (-shock)]]-2*Table1[[#This Row],[Ask Price]])/(2*Table1[[#This Row],[Ask Price]]*($AE$2^2))</f>
        <v>140.44637272682817</v>
      </c>
    </row>
    <row r="9" spans="1:32" x14ac:dyDescent="0.25">
      <c r="A9" s="21" t="s">
        <v>38</v>
      </c>
      <c r="B9" s="3" t="s">
        <v>39</v>
      </c>
      <c r="C9" s="3" t="s">
        <v>19</v>
      </c>
      <c r="D9" s="4">
        <v>45008</v>
      </c>
      <c r="E9" s="4">
        <v>46835</v>
      </c>
      <c r="F9" s="3">
        <v>1000</v>
      </c>
      <c r="G9" s="3" t="s">
        <v>20</v>
      </c>
      <c r="H9" s="3">
        <v>603.79999999999995</v>
      </c>
      <c r="I9" s="3" t="s">
        <v>20</v>
      </c>
      <c r="J9" s="3">
        <v>60.38</v>
      </c>
      <c r="K9" s="3">
        <v>200</v>
      </c>
      <c r="L9" s="5">
        <v>0.10150000000000001</v>
      </c>
      <c r="M9" s="3" t="s">
        <v>21</v>
      </c>
      <c r="N9" s="3">
        <v>918</v>
      </c>
      <c r="O9" s="6">
        <f>Table1[[#This Row],[Current coupon %]]*Table1[[#This Row],[Face value]]/Table1[[#This Row],[Ask Price]]</f>
        <v>0.16810202053660153</v>
      </c>
      <c r="P9" s="3" t="s">
        <v>25</v>
      </c>
      <c r="Q9" s="3" t="s">
        <v>22</v>
      </c>
      <c r="R9">
        <f t="shared" si="0"/>
        <v>5</v>
      </c>
      <c r="S9" s="22" cm="1">
        <f t="array" ref="S9">_xlfn.IFS(Table1[[#This Row],[Coupon frequency]]="Semi-annual",2,Table1[[#This Row],[Coupon frequency]]="Quarterly",4,Table1[[#This Row],[Coupon frequency]]="Annual",1,Table1[[#This Row],[Coupon frequency]]="Every 4 months",3,Table1[[#This Row],[Coupon frequency]]="Monthly",12)</f>
        <v>1</v>
      </c>
      <c r="T9">
        <f>Table1[[#This Row],[Term to Maturity (Years)]]*Table1[[#This Row],[Coupon Frequency2]]</f>
        <v>5</v>
      </c>
      <c r="U9">
        <f>Table1[[#This Row],[Face value]]*Table1[[#This Row],[Current coupon %]]/Table1[[#This Row],[Coupon Frequency2]]</f>
        <v>101.5</v>
      </c>
      <c r="V9" s="23">
        <f>RATE(Table1[[#This Row],[Total No. of Coupons]],Table1[[#This Row],[Coupon Amount]],-Table1[[#This Row],[Ask Price]],Table1[[#This Row],[Face value]])</f>
        <v>0.2483177950501973</v>
      </c>
      <c r="W9" s="24">
        <f>Table1[[#This Row],[IRR]]*Table1[[#This Row],[Coupon Frequency2]]</f>
        <v>0.2483177950501973</v>
      </c>
      <c r="X9" s="25" cm="1">
        <f t="array" ref="X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9" s="26">
        <f>DURATION(Table1[[#This Row],[Issue date]],Table1[[#This Row],[Maturity date]],Table1[[#This Row],[Current coupon %]],Table1[[#This Row],[Yield (Annualised)]],Table1[[#This Row],[Coupon Frequency2]])</f>
        <v>3.8956624990392865</v>
      </c>
      <c r="Z9" s="26">
        <f>Table1[[#This Row],[Macaulay Duration in Years]]/(1+Table1[[#This Row],[IRR]])</f>
        <v>3.1207297648774079</v>
      </c>
      <c r="AA9" s="27">
        <f>VLOOKUP(Table1[[#This Row],[Yield Cluster]],'[1]Cluster Details'!$B$3:$C$16,2,0)</f>
        <v>0.22511770855620161</v>
      </c>
      <c r="AB9" s="28">
        <f>PRICE(Table1[[#This Row],[Issue date]],Table1[[#This Row],[Maturity date]],Table1[[#This Row],[Current coupon %]],Table1[[#This Row],[Average Cluster Yield]],100,Table1[[#This Row],[Coupon Frequency2]])*Table1[[#This Row],[Face value]]/100</f>
        <v>649.84264409930108</v>
      </c>
      <c r="AC9" s="27" t="str">
        <f>IF(Table1[[#This Row],[Ask Price]]&gt;Table1[[#This Row],[Calculated Bond Price]],"Rich","Cheap")</f>
        <v>Cheap</v>
      </c>
      <c r="AD9" s="28">
        <f>PRICE(Table1[[#This Row],[Issue date]],Table1[[#This Row],[Maturity date]],Table1[[#This Row],[Current coupon %]],Table1[[#This Row],[Yield (Annualised)]]+$AE$2,100,Table1[[#This Row],[Coupon Frequency2]])*Table1[[#This Row],[Face value]]/100</f>
        <v>585.36419120083372</v>
      </c>
      <c r="AE9" s="28">
        <f>PRICE(Table1[[#This Row],[Issue date]],Table1[[#This Row],[Maturity date]],Table1[[#This Row],[Current coupon %]],Table1[[#This Row],[Yield (Annualised)]]-$AE$2,100,Table1[[#This Row],[Coupon Frequency2]])*Table1[[#This Row],[Face value]]/100</f>
        <v>623.06495076080398</v>
      </c>
      <c r="AF9" s="28">
        <f>(Table1[[#This Row],[P (+ shock)]]+Table1[[#This Row],[P (-shock)]]-2*Table1[[#This Row],[Ask Price]])/(2*Table1[[#This Row],[Ask Price]]*($AE$2^2))</f>
        <v>6.8660314809356411</v>
      </c>
    </row>
    <row r="10" spans="1:32" x14ac:dyDescent="0.25">
      <c r="A10" s="21" t="s">
        <v>34</v>
      </c>
      <c r="B10" s="3" t="s">
        <v>35</v>
      </c>
      <c r="C10" s="3" t="s">
        <v>19</v>
      </c>
      <c r="D10" s="4">
        <v>45008</v>
      </c>
      <c r="E10" s="4">
        <v>46835</v>
      </c>
      <c r="F10" s="3">
        <v>1000</v>
      </c>
      <c r="G10" s="3" t="s">
        <v>20</v>
      </c>
      <c r="H10" s="3">
        <v>618</v>
      </c>
      <c r="I10" s="3" t="s">
        <v>20</v>
      </c>
      <c r="J10" s="3">
        <v>61.8</v>
      </c>
      <c r="K10" s="3">
        <v>40</v>
      </c>
      <c r="L10" s="5">
        <v>9.6500000000000002E-2</v>
      </c>
      <c r="M10" s="3" t="s">
        <v>21</v>
      </c>
      <c r="N10" s="3">
        <v>918</v>
      </c>
      <c r="O10" s="6">
        <f>Table1[[#This Row],[Current coupon %]]*Table1[[#This Row],[Face value]]/Table1[[#This Row],[Ask Price]]</f>
        <v>0.15614886731391586</v>
      </c>
      <c r="P10" s="3" t="s">
        <v>25</v>
      </c>
      <c r="Q10" s="3" t="s">
        <v>22</v>
      </c>
      <c r="R10">
        <f t="shared" si="0"/>
        <v>5</v>
      </c>
      <c r="S10" s="22" cm="1">
        <f t="array" ref="S10">_xlfn.IFS(Table1[[#This Row],[Coupon frequency]]="Semi-annual",2,Table1[[#This Row],[Coupon frequency]]="Quarterly",4,Table1[[#This Row],[Coupon frequency]]="Annual",1,Table1[[#This Row],[Coupon frequency]]="Every 4 months",3,Table1[[#This Row],[Coupon frequency]]="Monthly",12)</f>
        <v>1</v>
      </c>
      <c r="T10">
        <f>Table1[[#This Row],[Term to Maturity (Years)]]*Table1[[#This Row],[Coupon Frequency2]]</f>
        <v>5</v>
      </c>
      <c r="U10">
        <f>Table1[[#This Row],[Face value]]*Table1[[#This Row],[Current coupon %]]/Table1[[#This Row],[Coupon Frequency2]]</f>
        <v>96.5</v>
      </c>
      <c r="V10" s="23">
        <f>RATE(Table1[[#This Row],[Total No. of Coupons]],Table1[[#This Row],[Coupon Amount]],-Table1[[#This Row],[Ask Price]],Table1[[#This Row],[Face value]])</f>
        <v>0.23387412712237171</v>
      </c>
      <c r="W10" s="24">
        <f>Table1[[#This Row],[IRR]]*Table1[[#This Row],[Coupon Frequency2]]</f>
        <v>0.23387412712237171</v>
      </c>
      <c r="X10" s="25" cm="1">
        <f t="array" ref="X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10" s="26">
        <f>DURATION(Table1[[#This Row],[Issue date]],Table1[[#This Row],[Maturity date]],Table1[[#This Row],[Current coupon %]],Table1[[#This Row],[Yield (Annualised)]],Table1[[#This Row],[Coupon Frequency2]])</f>
        <v>3.9524834565175047</v>
      </c>
      <c r="Z10" s="26">
        <f>Table1[[#This Row],[Macaulay Duration in Years]]/(1+Table1[[#This Row],[IRR]])</f>
        <v>3.2033117233241977</v>
      </c>
      <c r="AA10" s="27">
        <f>VLOOKUP(Table1[[#This Row],[Yield Cluster]],'[1]Cluster Details'!$B$3:$C$16,2,0)</f>
        <v>0.22511770855620161</v>
      </c>
      <c r="AB10" s="28">
        <f>PRICE(Table1[[#This Row],[Issue date]],Table1[[#This Row],[Maturity date]],Table1[[#This Row],[Current coupon %]],Table1[[#This Row],[Average Cluster Yield]],100,Table1[[#This Row],[Coupon Frequency2]])*Table1[[#This Row],[Face value]]/100</f>
        <v>635.67973168204401</v>
      </c>
      <c r="AC10" s="27" t="str">
        <f>IF(Table1[[#This Row],[Ask Price]]&gt;Table1[[#This Row],[Calculated Bond Price]],"Rich","Cheap")</f>
        <v>Cheap</v>
      </c>
      <c r="AD10" s="28">
        <f>PRICE(Table1[[#This Row],[Issue date]],Table1[[#This Row],[Maturity date]],Table1[[#This Row],[Current coupon %]],Table1[[#This Row],[Yield (Annualised)]]+$AE$2,100,Table1[[#This Row],[Coupon Frequency2]])*Table1[[#This Row],[Face value]]/100</f>
        <v>598.63859050865744</v>
      </c>
      <c r="AE10" s="28">
        <f>PRICE(Table1[[#This Row],[Issue date]],Table1[[#This Row],[Maturity date]],Table1[[#This Row],[Current coupon %]],Table1[[#This Row],[Yield (Annualised)]]-$AE$2,100,Table1[[#This Row],[Coupon Frequency2]])*Table1[[#This Row],[Face value]]/100</f>
        <v>638.24760067881425</v>
      </c>
      <c r="AF10" s="28">
        <f>(Table1[[#This Row],[P (+ shock)]]+Table1[[#This Row],[P (-shock)]]-2*Table1[[#This Row],[Ask Price]])/(2*Table1[[#This Row],[Ask Price]]*($AE$2^2))</f>
        <v>7.1698316138486664</v>
      </c>
    </row>
    <row r="11" spans="1:32" x14ac:dyDescent="0.25">
      <c r="A11" s="21" t="s">
        <v>36</v>
      </c>
      <c r="B11" s="3" t="s">
        <v>37</v>
      </c>
      <c r="C11" s="3" t="s">
        <v>19</v>
      </c>
      <c r="D11" s="4">
        <v>45401</v>
      </c>
      <c r="E11" s="4">
        <v>46131</v>
      </c>
      <c r="F11" s="3">
        <v>1000</v>
      </c>
      <c r="G11" s="3" t="s">
        <v>20</v>
      </c>
      <c r="H11" s="3">
        <v>830.2</v>
      </c>
      <c r="I11" s="3" t="s">
        <v>20</v>
      </c>
      <c r="J11" s="3">
        <v>83.02</v>
      </c>
      <c r="K11" s="3">
        <v>100</v>
      </c>
      <c r="L11" s="5">
        <v>0.11749999999999999</v>
      </c>
      <c r="M11" s="3" t="s">
        <v>21</v>
      </c>
      <c r="N11" s="3">
        <v>214</v>
      </c>
      <c r="O11" s="6">
        <f>Table1[[#This Row],[Current coupon %]]*Table1[[#This Row],[Face value]]/Table1[[#This Row],[Ask Price]]</f>
        <v>0.14153216092507828</v>
      </c>
      <c r="P11" s="3"/>
      <c r="Q11" s="3" t="s">
        <v>22</v>
      </c>
      <c r="R11">
        <f t="shared" si="0"/>
        <v>2</v>
      </c>
      <c r="S11" s="22" cm="1">
        <f t="array" ref="S11">_xlfn.IFS(Table1[[#This Row],[Coupon frequency]]="Semi-annual",2,Table1[[#This Row],[Coupon frequency]]="Quarterly",4,Table1[[#This Row],[Coupon frequency]]="Annual",1,Table1[[#This Row],[Coupon frequency]]="Every 4 months",3,Table1[[#This Row],[Coupon frequency]]="Monthly",12)</f>
        <v>1</v>
      </c>
      <c r="T11">
        <f>Table1[[#This Row],[Term to Maturity (Years)]]*Table1[[#This Row],[Coupon Frequency2]]</f>
        <v>2</v>
      </c>
      <c r="U11">
        <f>Table1[[#This Row],[Face value]]*Table1[[#This Row],[Current coupon %]]/Table1[[#This Row],[Coupon Frequency2]]</f>
        <v>117.5</v>
      </c>
      <c r="V11" s="23">
        <f>RATE(Table1[[#This Row],[Total No. of Coupons]],Table1[[#This Row],[Coupon Amount]],-Table1[[#This Row],[Ask Price]],Table1[[#This Row],[Face value]])</f>
        <v>0.23312102978684526</v>
      </c>
      <c r="W11" s="24">
        <f>Table1[[#This Row],[IRR]]*Table1[[#This Row],[Coupon Frequency2]]</f>
        <v>0.23312102978684526</v>
      </c>
      <c r="X11" s="25" cm="1">
        <f t="array" ref="X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11" s="26">
        <f>DURATION(Table1[[#This Row],[Issue date]],Table1[[#This Row],[Maturity date]],Table1[[#This Row],[Current coupon %]],Table1[[#This Row],[Yield (Annualised)]],Table1[[#This Row],[Coupon Frequency2]])</f>
        <v>1.8852244366073758</v>
      </c>
      <c r="Z11" s="26">
        <f>Table1[[#This Row],[Macaulay Duration in Years]]/(1+Table1[[#This Row],[IRR]])</f>
        <v>1.528823522645828</v>
      </c>
      <c r="AA11" s="27">
        <f>VLOOKUP(Table1[[#This Row],[Yield Cluster]],'[1]Cluster Details'!$B$3:$C$16,2,0)</f>
        <v>0.22511770855620161</v>
      </c>
      <c r="AB11" s="28">
        <f>PRICE(Table1[[#This Row],[Issue date]],Table1[[#This Row],[Maturity date]],Table1[[#This Row],[Current coupon %]],Table1[[#This Row],[Average Cluster Yield]],100,Table1[[#This Row],[Coupon Frequency2]])*Table1[[#This Row],[Face value]]/100</f>
        <v>840.45577240386967</v>
      </c>
      <c r="AC11" s="27" t="str">
        <f>IF(Table1[[#This Row],[Ask Price]]&gt;Table1[[#This Row],[Calculated Bond Price]],"Rich","Cheap")</f>
        <v>Cheap</v>
      </c>
      <c r="AD11" s="28">
        <f>PRICE(Table1[[#This Row],[Issue date]],Table1[[#This Row],[Maturity date]],Table1[[#This Row],[Current coupon %]],Table1[[#This Row],[Yield (Annualised)]]+$AE$2,100,Table1[[#This Row],[Coupon Frequency2]])*Table1[[#This Row],[Face value]]/100</f>
        <v>817.6573637691522</v>
      </c>
      <c r="AE11" s="28">
        <f>PRICE(Table1[[#This Row],[Issue date]],Table1[[#This Row],[Maturity date]],Table1[[#This Row],[Current coupon %]],Table1[[#This Row],[Yield (Annualised)]]-$AE$2,100,Table1[[#This Row],[Coupon Frequency2]])*Table1[[#This Row],[Face value]]/100</f>
        <v>843.04518700641779</v>
      </c>
      <c r="AF11" s="28">
        <f>(Table1[[#This Row],[P (+ shock)]]+Table1[[#This Row],[P (-shock)]]-2*Table1[[#This Row],[Ask Price]])/(2*Table1[[#This Row],[Ask Price]]*($AE$2^2))</f>
        <v>1.8221559598283434</v>
      </c>
    </row>
    <row r="12" spans="1:32" x14ac:dyDescent="0.25">
      <c r="A12" s="21" t="s">
        <v>138</v>
      </c>
      <c r="B12" s="3" t="s">
        <v>139</v>
      </c>
      <c r="C12" s="3" t="s">
        <v>19</v>
      </c>
      <c r="D12" s="4">
        <v>45239</v>
      </c>
      <c r="E12" s="4">
        <v>47066</v>
      </c>
      <c r="F12" s="3">
        <v>1000</v>
      </c>
      <c r="G12" s="3" t="s">
        <v>20</v>
      </c>
      <c r="H12" s="3">
        <v>642</v>
      </c>
      <c r="I12" s="3" t="s">
        <v>20</v>
      </c>
      <c r="J12" s="3">
        <v>64.2</v>
      </c>
      <c r="K12" s="3">
        <v>50</v>
      </c>
      <c r="L12" s="5">
        <v>0.10150000000000001</v>
      </c>
      <c r="M12" s="3" t="s">
        <v>21</v>
      </c>
      <c r="N12" s="3">
        <v>1149</v>
      </c>
      <c r="O12" s="6">
        <f>Table1[[#This Row],[Current coupon %]]*Table1[[#This Row],[Face value]]/Table1[[#This Row],[Ask Price]]</f>
        <v>0.15809968847352024</v>
      </c>
      <c r="P12" s="3" t="s">
        <v>25</v>
      </c>
      <c r="Q12" s="3" t="s">
        <v>22</v>
      </c>
      <c r="R12">
        <f t="shared" si="0"/>
        <v>5</v>
      </c>
      <c r="S12" s="22" cm="1">
        <f t="array" ref="S12">_xlfn.IFS(Table1[[#This Row],[Coupon frequency]]="Semi-annual",2,Table1[[#This Row],[Coupon frequency]]="Quarterly",4,Table1[[#This Row],[Coupon frequency]]="Annual",1,Table1[[#This Row],[Coupon frequency]]="Every 4 months",3,Table1[[#This Row],[Coupon frequency]]="Monthly",12)</f>
        <v>1</v>
      </c>
      <c r="T12">
        <f>Table1[[#This Row],[Term to Maturity (Years)]]*Table1[[#This Row],[Coupon Frequency2]]</f>
        <v>5</v>
      </c>
      <c r="U12">
        <f>Table1[[#This Row],[Face value]]*Table1[[#This Row],[Current coupon %]]/Table1[[#This Row],[Coupon Frequency2]]</f>
        <v>101.5</v>
      </c>
      <c r="V12" s="23">
        <f>RATE(Table1[[#This Row],[Total No. of Coupons]],Table1[[#This Row],[Coupon Amount]],-Table1[[#This Row],[Ask Price]],Table1[[#This Row],[Face value]])</f>
        <v>0.22890367541195605</v>
      </c>
      <c r="W12" s="24">
        <f>Table1[[#This Row],[IRR]]*Table1[[#This Row],[Coupon Frequency2]]</f>
        <v>0.22890367541195605</v>
      </c>
      <c r="X12" s="25" cm="1">
        <f t="array" ref="X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12" s="26">
        <f>DURATION(Table1[[#This Row],[Issue date]],Table1[[#This Row],[Maturity date]],Table1[[#This Row],[Current coupon %]],Table1[[#This Row],[Yield (Annualised)]],Table1[[#This Row],[Coupon Frequency2]])</f>
        <v>3.9316373274910998</v>
      </c>
      <c r="Z12" s="26">
        <f>Table1[[#This Row],[Macaulay Duration in Years]]/(1+Table1[[#This Row],[IRR]])</f>
        <v>3.1993047186331567</v>
      </c>
      <c r="AA12" s="27">
        <f>VLOOKUP(Table1[[#This Row],[Yield Cluster]],'[1]Cluster Details'!$B$3:$C$16,2,0)</f>
        <v>0.22511770855620161</v>
      </c>
      <c r="AB12" s="28">
        <f>PRICE(Table1[[#This Row],[Issue date]],Table1[[#This Row],[Maturity date]],Table1[[#This Row],[Current coupon %]],Table1[[#This Row],[Average Cluster Yield]],100,Table1[[#This Row],[Coupon Frequency2]])*Table1[[#This Row],[Face value]]/100</f>
        <v>649.84264409930108</v>
      </c>
      <c r="AC12" s="27" t="str">
        <f>IF(Table1[[#This Row],[Ask Price]]&gt;Table1[[#This Row],[Calculated Bond Price]],"Rich","Cheap")</f>
        <v>Cheap</v>
      </c>
      <c r="AD12" s="28">
        <f>PRICE(Table1[[#This Row],[Issue date]],Table1[[#This Row],[Maturity date]],Table1[[#This Row],[Current coupon %]],Table1[[#This Row],[Yield (Annualised)]]+$AE$2,100,Table1[[#This Row],[Coupon Frequency2]])*Table1[[#This Row],[Face value]]/100</f>
        <v>621.91258361802397</v>
      </c>
      <c r="AE12" s="28">
        <f>PRICE(Table1[[#This Row],[Issue date]],Table1[[#This Row],[Maturity date]],Table1[[#This Row],[Current coupon %]],Table1[[#This Row],[Yield (Annualised)]]-$AE$2,100,Table1[[#This Row],[Coupon Frequency2]])*Table1[[#This Row],[Face value]]/100</f>
        <v>663.0084104327027</v>
      </c>
      <c r="AF12" s="28">
        <f>(Table1[[#This Row],[P (+ shock)]]+Table1[[#This Row],[P (-shock)]]-2*Table1[[#This Row],[Ask Price]])/(2*Table1[[#This Row],[Ask Price]]*($AE$2^2))</f>
        <v>7.1728508623572926</v>
      </c>
    </row>
    <row r="13" spans="1:32" x14ac:dyDescent="0.25">
      <c r="A13" s="21" t="s">
        <v>140</v>
      </c>
      <c r="B13" s="3" t="s">
        <v>141</v>
      </c>
      <c r="C13" s="3" t="s">
        <v>19</v>
      </c>
      <c r="D13" s="4">
        <v>45509</v>
      </c>
      <c r="E13" s="4">
        <v>46604</v>
      </c>
      <c r="F13" s="3">
        <v>100000</v>
      </c>
      <c r="G13" s="3" t="s">
        <v>20</v>
      </c>
      <c r="H13" s="3">
        <v>76407.89</v>
      </c>
      <c r="I13" s="3" t="s">
        <v>20</v>
      </c>
      <c r="J13" s="3">
        <v>76.407889999999995</v>
      </c>
      <c r="K13" s="3">
        <v>1</v>
      </c>
      <c r="L13" s="5">
        <v>0.11749999999999999</v>
      </c>
      <c r="M13" s="3" t="s">
        <v>44</v>
      </c>
      <c r="N13" s="3">
        <v>687</v>
      </c>
      <c r="O13" s="6">
        <f>Table1[[#This Row],[Current coupon %]]*Table1[[#This Row],[Face value]]/Table1[[#This Row],[Ask Price]]</f>
        <v>0.15377993031871448</v>
      </c>
      <c r="P13" s="3"/>
      <c r="Q13" s="3" t="s">
        <v>22</v>
      </c>
      <c r="R13">
        <f t="shared" si="0"/>
        <v>3</v>
      </c>
      <c r="S13" s="22" cm="1">
        <f t="array" ref="S13">_xlfn.IFS(Table1[[#This Row],[Coupon frequency]]="Semi-annual",2,Table1[[#This Row],[Coupon frequency]]="Quarterly",4,Table1[[#This Row],[Coupon frequency]]="Annual",1,Table1[[#This Row],[Coupon frequency]]="Every 4 months",3,Table1[[#This Row],[Coupon frequency]]="Monthly",12)</f>
        <v>4</v>
      </c>
      <c r="T13">
        <f>Table1[[#This Row],[Term to Maturity (Years)]]*Table1[[#This Row],[Coupon Frequency2]]</f>
        <v>12</v>
      </c>
      <c r="U13">
        <f>Table1[[#This Row],[Face value]]*Table1[[#This Row],[Current coupon %]]/Table1[[#This Row],[Coupon Frequency2]]</f>
        <v>2937.5</v>
      </c>
      <c r="V13" s="23">
        <f>RATE(Table1[[#This Row],[Total No. of Coupons]],Table1[[#This Row],[Coupon Amount]],-Table1[[#This Row],[Ask Price]],Table1[[#This Row],[Face value]])</f>
        <v>5.7063754698886526E-2</v>
      </c>
      <c r="W13" s="24">
        <f>Table1[[#This Row],[IRR]]*Table1[[#This Row],[Coupon Frequency2]]</f>
        <v>0.22825501879554611</v>
      </c>
      <c r="X13" s="25" cm="1">
        <f t="array" ref="X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13" s="26">
        <f>DURATION(Table1[[#This Row],[Issue date]],Table1[[#This Row],[Maturity date]],Table1[[#This Row],[Current coupon %]],Table1[[#This Row],[Yield (Annualised)]],Table1[[#This Row],[Coupon Frequency2]])</f>
        <v>2.4958345812022764</v>
      </c>
      <c r="Z13" s="26">
        <f>Table1[[#This Row],[Macaulay Duration in Years]]/(1+Table1[[#This Row],[IRR]])</f>
        <v>2.3611012771062572</v>
      </c>
      <c r="AA13" s="27">
        <f>VLOOKUP(Table1[[#This Row],[Yield Cluster]],'[1]Cluster Details'!$B$3:$C$16,2,0)</f>
        <v>0.22511770855620161</v>
      </c>
      <c r="AB13" s="28">
        <f>PRICE(Table1[[#This Row],[Issue date]],Table1[[#This Row],[Maturity date]],Table1[[#This Row],[Current coupon %]],Table1[[#This Row],[Average Cluster Yield]],100,Table1[[#This Row],[Coupon Frequency2]])*Table1[[#This Row],[Face value]]/100</f>
        <v>76976.452788050097</v>
      </c>
      <c r="AC13" s="27" t="str">
        <f>IF(Table1[[#This Row],[Ask Price]]&gt;Table1[[#This Row],[Calculated Bond Price]],"Rich","Cheap")</f>
        <v>Cheap</v>
      </c>
      <c r="AD13" s="28">
        <f>PRICE(Table1[[#This Row],[Issue date]],Table1[[#This Row],[Maturity date]],Table1[[#This Row],[Current coupon %]],Table1[[#This Row],[Yield (Annualised)]]+$AE$2,100,Table1[[#This Row],[Coupon Frequency2]])*Table1[[#This Row],[Face value]]/100</f>
        <v>74629.577446277923</v>
      </c>
      <c r="AE13" s="28">
        <f>PRICE(Table1[[#This Row],[Issue date]],Table1[[#This Row],[Maturity date]],Table1[[#This Row],[Current coupon %]],Table1[[#This Row],[Yield (Annualised)]]-$AE$2,100,Table1[[#This Row],[Coupon Frequency2]])*Table1[[#This Row],[Face value]]/100</f>
        <v>78238.269670130641</v>
      </c>
      <c r="AF13" s="28">
        <f>(Table1[[#This Row],[P (+ shock)]]+Table1[[#This Row],[P (-shock)]]-2*Table1[[#This Row],[Ask Price]])/(2*Table1[[#This Row],[Ask Price]]*($AE$2^2))</f>
        <v>3.4071819290245906</v>
      </c>
    </row>
    <row r="14" spans="1:32" x14ac:dyDescent="0.25">
      <c r="A14" s="21" t="s">
        <v>142</v>
      </c>
      <c r="B14" s="3" t="s">
        <v>143</v>
      </c>
      <c r="C14" s="3" t="s">
        <v>19</v>
      </c>
      <c r="D14" s="4">
        <v>45041</v>
      </c>
      <c r="E14" s="4">
        <v>46137</v>
      </c>
      <c r="F14" s="3">
        <v>1000</v>
      </c>
      <c r="G14" s="3" t="s">
        <v>20</v>
      </c>
      <c r="H14" s="3">
        <v>746.05</v>
      </c>
      <c r="I14" s="3" t="s">
        <v>20</v>
      </c>
      <c r="J14" s="3">
        <v>74.605000000000004</v>
      </c>
      <c r="K14" s="3">
        <v>39</v>
      </c>
      <c r="L14" s="5">
        <v>0.10249999999999999</v>
      </c>
      <c r="M14" s="3" t="s">
        <v>21</v>
      </c>
      <c r="N14" s="3">
        <v>220</v>
      </c>
      <c r="O14" s="6">
        <f>Table1[[#This Row],[Current coupon %]]*Table1[[#This Row],[Face value]]/Table1[[#This Row],[Ask Price]]</f>
        <v>0.13739025534481603</v>
      </c>
      <c r="P14" s="3"/>
      <c r="Q14" s="3" t="s">
        <v>22</v>
      </c>
      <c r="R14">
        <f t="shared" si="0"/>
        <v>3</v>
      </c>
      <c r="S14" s="22" cm="1">
        <f t="array" ref="S14">_xlfn.IFS(Table1[[#This Row],[Coupon frequency]]="Semi-annual",2,Table1[[#This Row],[Coupon frequency]]="Quarterly",4,Table1[[#This Row],[Coupon frequency]]="Annual",1,Table1[[#This Row],[Coupon frequency]]="Every 4 months",3,Table1[[#This Row],[Coupon frequency]]="Monthly",12)</f>
        <v>1</v>
      </c>
      <c r="T14">
        <f>Table1[[#This Row],[Term to Maturity (Years)]]*Table1[[#This Row],[Coupon Frequency2]]</f>
        <v>3</v>
      </c>
      <c r="U14">
        <f>Table1[[#This Row],[Face value]]*Table1[[#This Row],[Current coupon %]]/Table1[[#This Row],[Coupon Frequency2]]</f>
        <v>102.5</v>
      </c>
      <c r="V14" s="23">
        <f>RATE(Table1[[#This Row],[Total No. of Coupons]],Table1[[#This Row],[Coupon Amount]],-Table1[[#This Row],[Ask Price]],Table1[[#This Row],[Face value]])</f>
        <v>0.22846316548776222</v>
      </c>
      <c r="W14" s="24">
        <f>Table1[[#This Row],[IRR]]*Table1[[#This Row],[Coupon Frequency2]]</f>
        <v>0.22846316548776222</v>
      </c>
      <c r="X14" s="25" cm="1">
        <f t="array" ref="X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14" s="26">
        <f>DURATION(Table1[[#This Row],[Issue date]],Table1[[#This Row],[Maturity date]],Table1[[#This Row],[Current coupon %]],Table1[[#This Row],[Yield (Annualised)]],Table1[[#This Row],[Coupon Frequency2]])</f>
        <v>2.6852818590371581</v>
      </c>
      <c r="Z14" s="26">
        <f>Table1[[#This Row],[Macaulay Duration in Years]]/(1+Table1[[#This Row],[IRR]])</f>
        <v>2.1858871592384821</v>
      </c>
      <c r="AA14" s="27">
        <f>VLOOKUP(Table1[[#This Row],[Yield Cluster]],'[1]Cluster Details'!$B$3:$C$16,2,0)</f>
        <v>0.22511770855620161</v>
      </c>
      <c r="AB14" s="28">
        <f>PRICE(Table1[[#This Row],[Issue date]],Table1[[#This Row],[Maturity date]],Table1[[#This Row],[Current coupon %]],Table1[[#This Row],[Average Cluster Yield]],100,Table1[[#This Row],[Coupon Frequency2]])*Table1[[#This Row],[Face value]]/100</f>
        <v>751.53442818029066</v>
      </c>
      <c r="AC14" s="27" t="str">
        <f>IF(Table1[[#This Row],[Ask Price]]&gt;Table1[[#This Row],[Calculated Bond Price]],"Rich","Cheap")</f>
        <v>Cheap</v>
      </c>
      <c r="AD14" s="28">
        <f>PRICE(Table1[[#This Row],[Issue date]],Table1[[#This Row],[Maturity date]],Table1[[#This Row],[Current coupon %]],Table1[[#This Row],[Yield (Annualised)]]+$AE$2,100,Table1[[#This Row],[Coupon Frequency2]])*Table1[[#This Row],[Face value]]/100</f>
        <v>729.99429993405897</v>
      </c>
      <c r="AE14" s="28">
        <f>PRICE(Table1[[#This Row],[Issue date]],Table1[[#This Row],[Maturity date]],Table1[[#This Row],[Current coupon %]],Table1[[#This Row],[Yield (Annualised)]]-$AE$2,100,Table1[[#This Row],[Coupon Frequency2]])*Table1[[#This Row],[Face value]]/100</f>
        <v>762.61672184714746</v>
      </c>
      <c r="AF14" s="28">
        <f>(Table1[[#This Row],[P (+ shock)]]+Table1[[#This Row],[P (-shock)]]-2*Table1[[#This Row],[Ask Price]])/(2*Table1[[#This Row],[Ask Price]]*($AE$2^2))</f>
        <v>3.4248494149630497</v>
      </c>
    </row>
    <row r="15" spans="1:32" x14ac:dyDescent="0.25">
      <c r="A15" s="21" t="s">
        <v>144</v>
      </c>
      <c r="B15" s="3" t="s">
        <v>145</v>
      </c>
      <c r="C15" s="3" t="s">
        <v>19</v>
      </c>
      <c r="D15" s="4">
        <v>45041</v>
      </c>
      <c r="E15" s="4">
        <v>46868</v>
      </c>
      <c r="F15" s="3">
        <v>1000</v>
      </c>
      <c r="G15" s="3" t="s">
        <v>20</v>
      </c>
      <c r="H15" s="3">
        <v>660</v>
      </c>
      <c r="I15" s="3" t="s">
        <v>20</v>
      </c>
      <c r="J15" s="3">
        <v>66</v>
      </c>
      <c r="K15" s="3">
        <v>50</v>
      </c>
      <c r="L15" s="5">
        <v>0.105</v>
      </c>
      <c r="M15" s="3" t="s">
        <v>21</v>
      </c>
      <c r="N15" s="3">
        <v>951</v>
      </c>
      <c r="O15" s="6">
        <f>Table1[[#This Row],[Current coupon %]]*Table1[[#This Row],[Face value]]/Table1[[#This Row],[Ask Price]]</f>
        <v>0.15909090909090909</v>
      </c>
      <c r="P15" s="3"/>
      <c r="Q15" s="3" t="s">
        <v>22</v>
      </c>
      <c r="R15">
        <f t="shared" si="0"/>
        <v>5</v>
      </c>
      <c r="S15" s="22" cm="1">
        <f t="array" ref="S15">_xlfn.IFS(Table1[[#This Row],[Coupon frequency]]="Semi-annual",2,Table1[[#This Row],[Coupon frequency]]="Quarterly",4,Table1[[#This Row],[Coupon frequency]]="Annual",1,Table1[[#This Row],[Coupon frequency]]="Every 4 months",3,Table1[[#This Row],[Coupon frequency]]="Monthly",12)</f>
        <v>1</v>
      </c>
      <c r="T15">
        <f>Table1[[#This Row],[Term to Maturity (Years)]]*Table1[[#This Row],[Coupon Frequency2]]</f>
        <v>5</v>
      </c>
      <c r="U15">
        <f>Table1[[#This Row],[Face value]]*Table1[[#This Row],[Current coupon %]]/Table1[[#This Row],[Coupon Frequency2]]</f>
        <v>105</v>
      </c>
      <c r="V15" s="23">
        <f>RATE(Table1[[#This Row],[Total No. of Coupons]],Table1[[#This Row],[Coupon Amount]],-Table1[[#This Row],[Ask Price]],Table1[[#This Row],[Face value]])</f>
        <v>0.22500243438196943</v>
      </c>
      <c r="W15" s="24">
        <f>Table1[[#This Row],[IRR]]*Table1[[#This Row],[Coupon Frequency2]]</f>
        <v>0.22500243438196943</v>
      </c>
      <c r="X15" s="25" cm="1">
        <f t="array" ref="X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15" s="26">
        <f>DURATION(Table1[[#This Row],[Issue date]],Table1[[#This Row],[Maturity date]],Table1[[#This Row],[Current coupon %]],Table1[[#This Row],[Yield (Annualised)]],Table1[[#This Row],[Coupon Frequency2]])</f>
        <v>3.918737834690142</v>
      </c>
      <c r="Z15" s="26">
        <f>Table1[[#This Row],[Macaulay Duration in Years]]/(1+Table1[[#This Row],[IRR]])</f>
        <v>3.1989633038298404</v>
      </c>
      <c r="AA15" s="27">
        <f>VLOOKUP(Table1[[#This Row],[Yield Cluster]],'[1]Cluster Details'!$B$3:$C$16,2,0)</f>
        <v>0.22511770855620161</v>
      </c>
      <c r="AB15" s="28">
        <f>PRICE(Table1[[#This Row],[Issue date]],Table1[[#This Row],[Maturity date]],Table1[[#This Row],[Current coupon %]],Table1[[#This Row],[Average Cluster Yield]],100,Table1[[#This Row],[Coupon Frequency2]])*Table1[[#This Row],[Face value]]/100</f>
        <v>659.75668279138085</v>
      </c>
      <c r="AC15" s="27" t="str">
        <f>IF(Table1[[#This Row],[Ask Price]]&gt;Table1[[#This Row],[Calculated Bond Price]],"Rich","Cheap")</f>
        <v>Rich</v>
      </c>
      <c r="AD15" s="28">
        <f>PRICE(Table1[[#This Row],[Issue date]],Table1[[#This Row],[Maturity date]],Table1[[#This Row],[Current coupon %]],Table1[[#This Row],[Yield (Annualised)]]+$AE$2,100,Table1[[#This Row],[Coupon Frequency2]])*Table1[[#This Row],[Face value]]/100</f>
        <v>639.35234478733514</v>
      </c>
      <c r="AE15" s="28">
        <f>PRICE(Table1[[#This Row],[Issue date]],Table1[[#This Row],[Maturity date]],Table1[[#This Row],[Current coupon %]],Table1[[#This Row],[Yield (Annualised)]]-$AE$2,100,Table1[[#This Row],[Coupon Frequency2]])*Table1[[#This Row],[Face value]]/100</f>
        <v>681.59595148985625</v>
      </c>
      <c r="AF15" s="28">
        <f>(Table1[[#This Row],[P (+ shock)]]+Table1[[#This Row],[P (-shock)]]-2*Table1[[#This Row],[Ask Price]])/(2*Table1[[#This Row],[Ask Price]]*($AE$2^2))</f>
        <v>7.184062705994509</v>
      </c>
    </row>
    <row r="16" spans="1:32" x14ac:dyDescent="0.25">
      <c r="A16" s="21" t="s">
        <v>17</v>
      </c>
      <c r="B16" s="3" t="s">
        <v>18</v>
      </c>
      <c r="C16" s="3" t="s">
        <v>19</v>
      </c>
      <c r="D16" s="4">
        <v>45512</v>
      </c>
      <c r="E16" s="4">
        <v>46241</v>
      </c>
      <c r="F16" s="3">
        <v>1000</v>
      </c>
      <c r="G16" s="3" t="s">
        <v>20</v>
      </c>
      <c r="H16" s="3">
        <v>852.7</v>
      </c>
      <c r="I16" s="3" t="s">
        <v>20</v>
      </c>
      <c r="J16" s="3">
        <v>85.27</v>
      </c>
      <c r="K16" s="3">
        <v>100</v>
      </c>
      <c r="L16" s="5">
        <v>0.10249999999999999</v>
      </c>
      <c r="M16" s="3" t="s">
        <v>21</v>
      </c>
      <c r="N16" s="3">
        <v>324</v>
      </c>
      <c r="O16" s="6">
        <f>Table1[[#This Row],[Current coupon %]]*Table1[[#This Row],[Face value]]/Table1[[#This Row],[Ask Price]]</f>
        <v>0.12020640318986747</v>
      </c>
      <c r="P16" s="3"/>
      <c r="Q16" s="3" t="s">
        <v>22</v>
      </c>
      <c r="R16">
        <f t="shared" si="0"/>
        <v>2</v>
      </c>
      <c r="S16" s="22" cm="1">
        <f t="array" ref="S16">_xlfn.IFS(Table1[[#This Row],[Coupon frequency]]="Semi-annual",2,Table1[[#This Row],[Coupon frequency]]="Quarterly",4,Table1[[#This Row],[Coupon frequency]]="Annual",1,Table1[[#This Row],[Coupon frequency]]="Every 4 months",3,Table1[[#This Row],[Coupon frequency]]="Monthly",12)</f>
        <v>1</v>
      </c>
      <c r="T16">
        <f>Table1[[#This Row],[Term to Maturity (Years)]]*Table1[[#This Row],[Coupon Frequency2]]</f>
        <v>2</v>
      </c>
      <c r="U16">
        <f>Table1[[#This Row],[Face value]]*Table1[[#This Row],[Current coupon %]]/Table1[[#This Row],[Coupon Frequency2]]</f>
        <v>102.5</v>
      </c>
      <c r="V16" s="23">
        <f>RATE(Table1[[#This Row],[Total No. of Coupons]],Table1[[#This Row],[Coupon Amount]],-Table1[[#This Row],[Ask Price]],Table1[[#This Row],[Face value]])</f>
        <v>0.19877092969042406</v>
      </c>
      <c r="W16" s="24">
        <f>Table1[[#This Row],[IRR]]*Table1[[#This Row],[Coupon Frequency2]]</f>
        <v>0.19877092969042406</v>
      </c>
      <c r="X16" s="25" cm="1">
        <f t="array" ref="X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16" s="26">
        <f>DURATION(Table1[[#This Row],[Issue date]],Table1[[#This Row],[Maturity date]],Table1[[#This Row],[Current coupon %]],Table1[[#This Row],[Yield (Annualised)]],Table1[[#This Row],[Coupon Frequency2]])</f>
        <v>1.896947515676819</v>
      </c>
      <c r="Z16" s="26">
        <f>Table1[[#This Row],[Macaulay Duration in Years]]/(1+Table1[[#This Row],[IRR]])</f>
        <v>1.582410341037128</v>
      </c>
      <c r="AA16" s="27">
        <f>VLOOKUP(Table1[[#This Row],[Yield Cluster]],'[1]Cluster Details'!$B$3:$C$16,2,0)</f>
        <v>0.1712257899185532</v>
      </c>
      <c r="AB16" s="28">
        <f>PRICE(Table1[[#This Row],[Issue date]],Table1[[#This Row],[Maturity date]],Table1[[#This Row],[Current coupon %]],Table1[[#This Row],[Average Cluster Yield]],100,Table1[[#This Row],[Coupon Frequency2]])*Table1[[#This Row],[Face value]]/100</f>
        <v>891.32803419972799</v>
      </c>
      <c r="AC16" s="27" t="str">
        <f>IF(Table1[[#This Row],[Ask Price]]&gt;Table1[[#This Row],[Calculated Bond Price]],"Rich","Cheap")</f>
        <v>Cheap</v>
      </c>
      <c r="AD16" s="28">
        <f>PRICE(Table1[[#This Row],[Issue date]],Table1[[#This Row],[Maturity date]],Table1[[#This Row],[Current coupon %]],Table1[[#This Row],[Yield (Annualised)]]+$AE$2,100,Table1[[#This Row],[Coupon Frequency2]])*Table1[[#This Row],[Face value]]/100</f>
        <v>839.50878857725695</v>
      </c>
      <c r="AE16" s="28">
        <f>PRICE(Table1[[#This Row],[Issue date]],Table1[[#This Row],[Maturity date]],Table1[[#This Row],[Current coupon %]],Table1[[#This Row],[Yield (Annualised)]]-$AE$2,100,Table1[[#This Row],[Coupon Frequency2]])*Table1[[#This Row],[Face value]]/100</f>
        <v>866.51246141747515</v>
      </c>
      <c r="AF16" s="28">
        <f>(Table1[[#This Row],[P (+ shock)]]+Table1[[#This Row],[P (-shock)]]-2*Table1[[#This Row],[Ask Price]])/(2*Table1[[#This Row],[Ask Price]]*($AE$2^2))</f>
        <v>3.6428403584607563</v>
      </c>
    </row>
    <row r="17" spans="1:32" x14ac:dyDescent="0.25">
      <c r="A17" s="21" t="s">
        <v>146</v>
      </c>
      <c r="B17" s="3" t="s">
        <v>147</v>
      </c>
      <c r="C17" s="3" t="s">
        <v>19</v>
      </c>
      <c r="D17" s="4">
        <v>45240</v>
      </c>
      <c r="E17" s="4">
        <v>46336</v>
      </c>
      <c r="F17" s="3">
        <v>1000</v>
      </c>
      <c r="G17" s="3" t="s">
        <v>20</v>
      </c>
      <c r="H17" s="3">
        <v>729.85</v>
      </c>
      <c r="I17" s="3" t="s">
        <v>20</v>
      </c>
      <c r="J17" s="3">
        <v>72.984999999999999</v>
      </c>
      <c r="K17" s="3">
        <v>10</v>
      </c>
      <c r="L17" s="5">
        <v>0.10300000000000001</v>
      </c>
      <c r="M17" s="3" t="s">
        <v>21</v>
      </c>
      <c r="N17" s="3">
        <v>419</v>
      </c>
      <c r="O17" s="6">
        <f>Table1[[#This Row],[Current coupon %]]*Table1[[#This Row],[Face value]]/Table1[[#This Row],[Ask Price]]</f>
        <v>0.14112488867575532</v>
      </c>
      <c r="P17" s="3"/>
      <c r="Q17" s="3" t="s">
        <v>22</v>
      </c>
      <c r="R17">
        <f t="shared" si="0"/>
        <v>3</v>
      </c>
      <c r="S17" s="22" cm="1">
        <f t="array" ref="S17">_xlfn.IFS(Table1[[#This Row],[Coupon frequency]]="Semi-annual",2,Table1[[#This Row],[Coupon frequency]]="Quarterly",4,Table1[[#This Row],[Coupon frequency]]="Annual",1,Table1[[#This Row],[Coupon frequency]]="Every 4 months",3,Table1[[#This Row],[Coupon frequency]]="Monthly",12)</f>
        <v>1</v>
      </c>
      <c r="T17">
        <f>Table1[[#This Row],[Term to Maturity (Years)]]*Table1[[#This Row],[Coupon Frequency2]]</f>
        <v>3</v>
      </c>
      <c r="U17">
        <f>Table1[[#This Row],[Face value]]*Table1[[#This Row],[Current coupon %]]/Table1[[#This Row],[Coupon Frequency2]]</f>
        <v>103.00000000000001</v>
      </c>
      <c r="V17" s="23">
        <f>RATE(Table1[[#This Row],[Total No. of Coupons]],Table1[[#This Row],[Coupon Amount]],-Table1[[#This Row],[Ask Price]],Table1[[#This Row],[Face value]])</f>
        <v>0.23918274691880956</v>
      </c>
      <c r="W17" s="24">
        <f>Table1[[#This Row],[IRR]]*Table1[[#This Row],[Coupon Frequency2]]</f>
        <v>0.23918274691880956</v>
      </c>
      <c r="X17" s="25" cm="1">
        <f t="array" ref="X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17" s="26">
        <f>DURATION(Table1[[#This Row],[Issue date]],Table1[[#This Row],[Maturity date]],Table1[[#This Row],[Current coupon %]],Table1[[#This Row],[Yield (Annualised)]],Table1[[#This Row],[Coupon Frequency2]])</f>
        <v>2.6803254148814322</v>
      </c>
      <c r="Z17" s="26">
        <f>Table1[[#This Row],[Macaulay Duration in Years]]/(1+Table1[[#This Row],[IRR]])</f>
        <v>2.1629783190138667</v>
      </c>
      <c r="AA17" s="27">
        <f>VLOOKUP(Table1[[#This Row],[Yield Cluster]],'[1]Cluster Details'!$B$3:$C$16,2,0)</f>
        <v>0.22511770855620161</v>
      </c>
      <c r="AB17" s="28">
        <f>PRICE(Table1[[#This Row],[Issue date]],Table1[[#This Row],[Maturity date]],Table1[[#This Row],[Current coupon %]],Table1[[#This Row],[Average Cluster Yield]],100,Table1[[#This Row],[Coupon Frequency2]])*Table1[[#This Row],[Face value]]/100</f>
        <v>752.54759982876362</v>
      </c>
      <c r="AC17" s="27" t="str">
        <f>IF(Table1[[#This Row],[Ask Price]]&gt;Table1[[#This Row],[Calculated Bond Price]],"Rich","Cheap")</f>
        <v>Cheap</v>
      </c>
      <c r="AD17" s="28">
        <f>PRICE(Table1[[#This Row],[Issue date]],Table1[[#This Row],[Maturity date]],Table1[[#This Row],[Current coupon %]],Table1[[#This Row],[Yield (Annualised)]]+$AE$2,100,Table1[[#This Row],[Coupon Frequency2]])*Table1[[#This Row],[Face value]]/100</f>
        <v>714.30531784418611</v>
      </c>
      <c r="AE17" s="28">
        <f>PRICE(Table1[[#This Row],[Issue date]],Table1[[#This Row],[Maturity date]],Table1[[#This Row],[Current coupon %]],Table1[[#This Row],[Yield (Annualised)]]-$AE$2,100,Table1[[#This Row],[Coupon Frequency2]])*Table1[[#This Row],[Face value]]/100</f>
        <v>745.88477506628783</v>
      </c>
      <c r="AF17" s="28">
        <f>(Table1[[#This Row],[P (+ shock)]]+Table1[[#This Row],[P (-shock)]]-2*Table1[[#This Row],[Ask Price]])/(2*Table1[[#This Row],[Ask Price]]*($AE$2^2))</f>
        <v>3.3574906520107168</v>
      </c>
    </row>
    <row r="18" spans="1:32" x14ac:dyDescent="0.25">
      <c r="A18" s="21" t="s">
        <v>148</v>
      </c>
      <c r="B18" s="3" t="s">
        <v>149</v>
      </c>
      <c r="C18" s="3" t="s">
        <v>19</v>
      </c>
      <c r="D18" s="4">
        <v>45287</v>
      </c>
      <c r="E18" s="4">
        <v>48940</v>
      </c>
      <c r="F18" s="3">
        <v>1000</v>
      </c>
      <c r="G18" s="3" t="s">
        <v>20</v>
      </c>
      <c r="H18" s="3">
        <v>762</v>
      </c>
      <c r="I18" s="3" t="s">
        <v>20</v>
      </c>
      <c r="J18" s="3">
        <v>76.2</v>
      </c>
      <c r="K18" s="3">
        <v>10</v>
      </c>
      <c r="L18" s="5">
        <v>0.1075</v>
      </c>
      <c r="M18" s="3" t="s">
        <v>21</v>
      </c>
      <c r="N18" s="3">
        <v>3023</v>
      </c>
      <c r="O18" s="6">
        <f>Table1[[#This Row],[Current coupon %]]*Table1[[#This Row],[Face value]]/Table1[[#This Row],[Ask Price]]</f>
        <v>0.14107611548556431</v>
      </c>
      <c r="P18" s="3" t="s">
        <v>25</v>
      </c>
      <c r="Q18" s="3" t="s">
        <v>22</v>
      </c>
      <c r="R18">
        <f t="shared" si="0"/>
        <v>10</v>
      </c>
      <c r="S18" s="22" cm="1">
        <f t="array" ref="S18">_xlfn.IFS(Table1[[#This Row],[Coupon frequency]]="Semi-annual",2,Table1[[#This Row],[Coupon frequency]]="Quarterly",4,Table1[[#This Row],[Coupon frequency]]="Annual",1,Table1[[#This Row],[Coupon frequency]]="Every 4 months",3,Table1[[#This Row],[Coupon frequency]]="Monthly",12)</f>
        <v>1</v>
      </c>
      <c r="T18">
        <f>Table1[[#This Row],[Term to Maturity (Years)]]*Table1[[#This Row],[Coupon Frequency2]]</f>
        <v>10</v>
      </c>
      <c r="U18">
        <f>Table1[[#This Row],[Face value]]*Table1[[#This Row],[Current coupon %]]/Table1[[#This Row],[Coupon Frequency2]]</f>
        <v>107.5</v>
      </c>
      <c r="V18" s="23">
        <f>RATE(Table1[[#This Row],[Total No. of Coupons]],Table1[[#This Row],[Coupon Amount]],-Table1[[#This Row],[Ask Price]],Table1[[#This Row],[Face value]])</f>
        <v>0.15601366824435825</v>
      </c>
      <c r="W18" s="24">
        <f>Table1[[#This Row],[IRR]]*Table1[[#This Row],[Coupon Frequency2]]</f>
        <v>0.15601366824435825</v>
      </c>
      <c r="X18" s="25" cm="1">
        <f t="array" ref="X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18" s="26">
        <f>DURATION(Table1[[#This Row],[Issue date]],Table1[[#This Row],[Maturity date]],Table1[[#This Row],[Current coupon %]],Table1[[#This Row],[Yield (Annualised)]],Table1[[#This Row],[Coupon Frequency2]])</f>
        <v>6.0856716465030454</v>
      </c>
      <c r="Z18" s="26">
        <f>Table1[[#This Row],[Macaulay Duration in Years]]/(1+Table1[[#This Row],[IRR]])</f>
        <v>5.2643595951122055</v>
      </c>
      <c r="AA18" s="27">
        <f>VLOOKUP(Table1[[#This Row],[Yield Cluster]],'[1]Cluster Details'!$B$3:$C$16,2,0)</f>
        <v>0.1712257899185532</v>
      </c>
      <c r="AB18" s="28">
        <f>PRICE(Table1[[#This Row],[Issue date]],Table1[[#This Row],[Maturity date]],Table1[[#This Row],[Current coupon %]],Table1[[#This Row],[Average Cluster Yield]],100,Table1[[#This Row],[Coupon Frequency2]])*Table1[[#This Row],[Face value]]/100</f>
        <v>704.44556622352309</v>
      </c>
      <c r="AC18" s="27" t="str">
        <f>IF(Table1[[#This Row],[Ask Price]]&gt;Table1[[#This Row],[Calculated Bond Price]],"Rich","Cheap")</f>
        <v>Rich</v>
      </c>
      <c r="AD18" s="28">
        <f>PRICE(Table1[[#This Row],[Issue date]],Table1[[#This Row],[Maturity date]],Table1[[#This Row],[Current coupon %]],Table1[[#This Row],[Yield (Annualised)]]+$AE$2,100,Table1[[#This Row],[Coupon Frequency2]])*Table1[[#This Row],[Face value]]/100</f>
        <v>723.40826370714228</v>
      </c>
      <c r="AE18" s="28">
        <f>PRICE(Table1[[#This Row],[Issue date]],Table1[[#This Row],[Maturity date]],Table1[[#This Row],[Current coupon %]],Table1[[#This Row],[Yield (Annualised)]]-$AE$2,100,Table1[[#This Row],[Coupon Frequency2]])*Table1[[#This Row],[Face value]]/100</f>
        <v>803.73549569542195</v>
      </c>
      <c r="AF18" s="28">
        <f>(Table1[[#This Row],[P (+ shock)]]+Table1[[#This Row],[P (-shock)]]-2*Table1[[#This Row],[Ask Price]])/(2*Table1[[#This Row],[Ask Price]]*($AE$2^2))</f>
        <v>20.628342536510683</v>
      </c>
    </row>
    <row r="19" spans="1:32" x14ac:dyDescent="0.25">
      <c r="A19" s="21" t="s">
        <v>150</v>
      </c>
      <c r="B19" s="3" t="s">
        <v>151</v>
      </c>
      <c r="C19" s="3" t="s">
        <v>19</v>
      </c>
      <c r="D19" s="4">
        <v>45322</v>
      </c>
      <c r="E19" s="4">
        <v>46418</v>
      </c>
      <c r="F19" s="3">
        <v>100000</v>
      </c>
      <c r="G19" s="3" t="s">
        <v>20</v>
      </c>
      <c r="H19" s="3">
        <v>84357.960999999996</v>
      </c>
      <c r="I19" s="3" t="s">
        <v>20</v>
      </c>
      <c r="J19" s="3">
        <v>84.357960999999904</v>
      </c>
      <c r="K19" s="3">
        <v>7</v>
      </c>
      <c r="L19" s="5">
        <v>0.11749999999999999</v>
      </c>
      <c r="M19" s="3" t="s">
        <v>44</v>
      </c>
      <c r="N19" s="3">
        <v>501</v>
      </c>
      <c r="O19" s="6">
        <f>Table1[[#This Row],[Current coupon %]]*Table1[[#This Row],[Face value]]/Table1[[#This Row],[Ask Price]]</f>
        <v>0.1392873874701642</v>
      </c>
      <c r="P19" s="3"/>
      <c r="Q19" s="3" t="s">
        <v>22</v>
      </c>
      <c r="R19">
        <f t="shared" si="0"/>
        <v>3</v>
      </c>
      <c r="S19" s="22" cm="1">
        <f t="array" ref="S19">_xlfn.IFS(Table1[[#This Row],[Coupon frequency]]="Semi-annual",2,Table1[[#This Row],[Coupon frequency]]="Quarterly",4,Table1[[#This Row],[Coupon frequency]]="Annual",1,Table1[[#This Row],[Coupon frequency]]="Every 4 months",3,Table1[[#This Row],[Coupon frequency]]="Monthly",12)</f>
        <v>4</v>
      </c>
      <c r="T19">
        <f>Table1[[#This Row],[Term to Maturity (Years)]]*Table1[[#This Row],[Coupon Frequency2]]</f>
        <v>12</v>
      </c>
      <c r="U19">
        <f>Table1[[#This Row],[Face value]]*Table1[[#This Row],[Current coupon %]]/Table1[[#This Row],[Coupon Frequency2]]</f>
        <v>2937.5</v>
      </c>
      <c r="V19" s="23">
        <f>RATE(Table1[[#This Row],[Total No. of Coupons]],Table1[[#This Row],[Coupon Amount]],-Table1[[#This Row],[Ask Price]],Table1[[#This Row],[Face value]])</f>
        <v>4.6695846390644738E-2</v>
      </c>
      <c r="W19" s="24">
        <f>Table1[[#This Row],[IRR]]*Table1[[#This Row],[Coupon Frequency2]]</f>
        <v>0.18678338556257895</v>
      </c>
      <c r="X19" s="25" cm="1">
        <f t="array" ref="X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19" s="26">
        <f>DURATION(Table1[[#This Row],[Issue date]],Table1[[#This Row],[Maturity date]],Table1[[#This Row],[Current coupon %]],Table1[[#This Row],[Yield (Annualised)]],Table1[[#This Row],[Coupon Frequency2]])</f>
        <v>2.5250641902256605</v>
      </c>
      <c r="Z19" s="26">
        <f>Table1[[#This Row],[Macaulay Duration in Years]]/(1+Table1[[#This Row],[IRR]])</f>
        <v>2.4124144553863678</v>
      </c>
      <c r="AA19" s="27">
        <f>VLOOKUP(Table1[[#This Row],[Yield Cluster]],'[1]Cluster Details'!$B$3:$C$16,2,0)</f>
        <v>0.1712257899185532</v>
      </c>
      <c r="AB19" s="28">
        <f>PRICE(Table1[[#This Row],[Issue date]],Table1[[#This Row],[Maturity date]],Table1[[#This Row],[Current coupon %]],Table1[[#This Row],[Average Cluster Yield]],100,Table1[[#This Row],[Coupon Frequency2]])*Table1[[#This Row],[Face value]]/100</f>
        <v>87597.287593657486</v>
      </c>
      <c r="AC19" s="27" t="str">
        <f>IF(Table1[[#This Row],[Ask Price]]&gt;Table1[[#This Row],[Calculated Bond Price]],"Rich","Cheap")</f>
        <v>Cheap</v>
      </c>
      <c r="AD19" s="28">
        <f>PRICE(Table1[[#This Row],[Issue date]],Table1[[#This Row],[Maturity date]],Table1[[#This Row],[Current coupon %]],Table1[[#This Row],[Yield (Annualised)]]+$AE$2,100,Table1[[#This Row],[Coupon Frequency2]])*Table1[[#This Row],[Face value]]/100</f>
        <v>82352.337026710797</v>
      </c>
      <c r="AE19" s="28">
        <f>PRICE(Table1[[#This Row],[Issue date]],Table1[[#This Row],[Maturity date]],Table1[[#This Row],[Current coupon %]],Table1[[#This Row],[Yield (Annualised)]]-$AE$2,100,Table1[[#This Row],[Coupon Frequency2]])*Table1[[#This Row],[Face value]]/100</f>
        <v>86423.108225608696</v>
      </c>
      <c r="AF19" s="28">
        <f>(Table1[[#This Row],[P (+ shock)]]+Table1[[#This Row],[P (-shock)]]-2*Table1[[#This Row],[Ask Price]])/(2*Table1[[#This Row],[Ask Price]]*($AE$2^2))</f>
        <v>3.5280163018351911</v>
      </c>
    </row>
    <row r="20" spans="1:32" x14ac:dyDescent="0.25">
      <c r="A20" s="21" t="s">
        <v>152</v>
      </c>
      <c r="B20" s="3" t="s">
        <v>153</v>
      </c>
      <c r="C20" s="3" t="s">
        <v>19</v>
      </c>
      <c r="D20" s="4">
        <v>45401</v>
      </c>
      <c r="E20" s="4">
        <v>46496</v>
      </c>
      <c r="F20" s="3">
        <v>1000</v>
      </c>
      <c r="G20" s="3" t="s">
        <v>20</v>
      </c>
      <c r="H20" s="3">
        <v>830</v>
      </c>
      <c r="I20" s="3" t="s">
        <v>20</v>
      </c>
      <c r="J20" s="3">
        <v>83</v>
      </c>
      <c r="K20" s="3">
        <v>100</v>
      </c>
      <c r="L20" s="5">
        <v>0.1225</v>
      </c>
      <c r="M20" s="3" t="s">
        <v>21</v>
      </c>
      <c r="N20" s="3">
        <v>579</v>
      </c>
      <c r="O20" s="6">
        <f>Table1[[#This Row],[Current coupon %]]*Table1[[#This Row],[Face value]]/Table1[[#This Row],[Ask Price]]</f>
        <v>0.14759036144578314</v>
      </c>
      <c r="P20" s="3"/>
      <c r="Q20" s="3" t="s">
        <v>22</v>
      </c>
      <c r="R20">
        <f t="shared" si="0"/>
        <v>3</v>
      </c>
      <c r="S20" s="22" cm="1">
        <f t="array" ref="S20">_xlfn.IFS(Table1[[#This Row],[Coupon frequency]]="Semi-annual",2,Table1[[#This Row],[Coupon frequency]]="Quarterly",4,Table1[[#This Row],[Coupon frequency]]="Annual",1,Table1[[#This Row],[Coupon frequency]]="Every 4 months",3,Table1[[#This Row],[Coupon frequency]]="Monthly",12)</f>
        <v>1</v>
      </c>
      <c r="T20">
        <f>Table1[[#This Row],[Term to Maturity (Years)]]*Table1[[#This Row],[Coupon Frequency2]]</f>
        <v>3</v>
      </c>
      <c r="U20">
        <f>Table1[[#This Row],[Face value]]*Table1[[#This Row],[Current coupon %]]/Table1[[#This Row],[Coupon Frequency2]]</f>
        <v>122.5</v>
      </c>
      <c r="V20" s="23">
        <f>RATE(Table1[[#This Row],[Total No. of Coupons]],Table1[[#This Row],[Coupon Amount]],-Table1[[#This Row],[Ask Price]],Table1[[#This Row],[Face value]])</f>
        <v>0.20366710573552554</v>
      </c>
      <c r="W20" s="24">
        <f>Table1[[#This Row],[IRR]]*Table1[[#This Row],[Coupon Frequency2]]</f>
        <v>0.20366710573552554</v>
      </c>
      <c r="X20" s="25" cm="1">
        <f t="array" ref="X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5</v>
      </c>
      <c r="Y20" s="26">
        <f>DURATION(Table1[[#This Row],[Issue date]],Table1[[#This Row],[Maturity date]],Table1[[#This Row],[Current coupon %]],Table1[[#This Row],[Yield (Annualised)]],Table1[[#This Row],[Coupon Frequency2]])</f>
        <v>2.6528957383148772</v>
      </c>
      <c r="Z20" s="26">
        <f>Table1[[#This Row],[Macaulay Duration in Years]]/(1+Table1[[#This Row],[IRR]])</f>
        <v>2.2040111636130248</v>
      </c>
      <c r="AA20" s="27">
        <f>VLOOKUP(Table1[[#This Row],[Yield Cluster]],'[1]Cluster Details'!$B$3:$C$16,2,0)</f>
        <v>0.22511770855620161</v>
      </c>
      <c r="AB20" s="28">
        <f>PRICE(Table1[[#This Row],[Issue date]],Table1[[#This Row],[Maturity date]],Table1[[#This Row],[Current coupon %]],Table1[[#This Row],[Average Cluster Yield]],100,Table1[[#This Row],[Coupon Frequency2]])*Table1[[#This Row],[Face value]]/100</f>
        <v>792.0612941192062</v>
      </c>
      <c r="AC20" s="27" t="str">
        <f>IF(Table1[[#This Row],[Ask Price]]&gt;Table1[[#This Row],[Calculated Bond Price]],"Rich","Cheap")</f>
        <v>Rich</v>
      </c>
      <c r="AD20" s="28">
        <f>PRICE(Table1[[#This Row],[Issue date]],Table1[[#This Row],[Maturity date]],Table1[[#This Row],[Current coupon %]],Table1[[#This Row],[Yield (Annualised)]]+$AE$2,100,Table1[[#This Row],[Coupon Frequency2]])*Table1[[#This Row],[Face value]]/100</f>
        <v>811.99391082888633</v>
      </c>
      <c r="AE20" s="28">
        <f>PRICE(Table1[[#This Row],[Issue date]],Table1[[#This Row],[Maturity date]],Table1[[#This Row],[Current coupon %]],Table1[[#This Row],[Yield (Annualised)]]-$AE$2,100,Table1[[#This Row],[Coupon Frequency2]])*Table1[[#This Row],[Face value]]/100</f>
        <v>848.58838392618668</v>
      </c>
      <c r="AF20" s="28">
        <f>(Table1[[#This Row],[P (+ shock)]]+Table1[[#This Row],[P (-shock)]]-2*Table1[[#This Row],[Ask Price]])/(2*Table1[[#This Row],[Ask Price]]*($AE$2^2))</f>
        <v>3.5077997293554684</v>
      </c>
    </row>
    <row r="21" spans="1:32" x14ac:dyDescent="0.25">
      <c r="A21" s="21" t="s">
        <v>23</v>
      </c>
      <c r="B21" s="3" t="s">
        <v>24</v>
      </c>
      <c r="C21" s="3" t="s">
        <v>19</v>
      </c>
      <c r="D21" s="4">
        <v>45195</v>
      </c>
      <c r="E21" s="4">
        <v>47022</v>
      </c>
      <c r="F21" s="3">
        <v>1000</v>
      </c>
      <c r="G21" s="3" t="s">
        <v>20</v>
      </c>
      <c r="H21" s="3">
        <v>739.8</v>
      </c>
      <c r="I21" s="3" t="s">
        <v>20</v>
      </c>
      <c r="J21" s="3">
        <v>73.979999999999905</v>
      </c>
      <c r="K21" s="3">
        <v>41</v>
      </c>
      <c r="L21" s="5">
        <v>0.10150000000000001</v>
      </c>
      <c r="M21" s="3" t="s">
        <v>21</v>
      </c>
      <c r="N21" s="3">
        <v>1105</v>
      </c>
      <c r="O21" s="6">
        <f>Table1[[#This Row],[Current coupon %]]*Table1[[#This Row],[Face value]]/Table1[[#This Row],[Ask Price]]</f>
        <v>0.1371992430386591</v>
      </c>
      <c r="P21" s="3" t="s">
        <v>25</v>
      </c>
      <c r="Q21" s="3" t="s">
        <v>22</v>
      </c>
      <c r="R21">
        <f t="shared" si="0"/>
        <v>5</v>
      </c>
      <c r="S21" s="22" cm="1">
        <f t="array" ref="S21">_xlfn.IFS(Table1[[#This Row],[Coupon frequency]]="Semi-annual",2,Table1[[#This Row],[Coupon frequency]]="Quarterly",4,Table1[[#This Row],[Coupon frequency]]="Annual",1,Table1[[#This Row],[Coupon frequency]]="Every 4 months",3,Table1[[#This Row],[Coupon frequency]]="Monthly",12)</f>
        <v>1</v>
      </c>
      <c r="T21">
        <f>Table1[[#This Row],[Term to Maturity (Years)]]*Table1[[#This Row],[Coupon Frequency2]]</f>
        <v>5</v>
      </c>
      <c r="U21">
        <f>Table1[[#This Row],[Face value]]*Table1[[#This Row],[Current coupon %]]/Table1[[#This Row],[Coupon Frequency2]]</f>
        <v>101.5</v>
      </c>
      <c r="V21" s="23">
        <f>RATE(Table1[[#This Row],[Total No. of Coupons]],Table1[[#This Row],[Coupon Amount]],-Table1[[#This Row],[Ask Price]],Table1[[#This Row],[Face value]])</f>
        <v>0.18580231228393529</v>
      </c>
      <c r="W21" s="24">
        <f>Table1[[#This Row],[IRR]]*Table1[[#This Row],[Coupon Frequency2]]</f>
        <v>0.18580231228393529</v>
      </c>
      <c r="X21" s="25" cm="1">
        <f t="array" ref="X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21" s="26">
        <f>DURATION(Table1[[#This Row],[Issue date]],Table1[[#This Row],[Maturity date]],Table1[[#This Row],[Current coupon %]],Table1[[#This Row],[Yield (Annualised)]],Table1[[#This Row],[Coupon Frequency2]])</f>
        <v>4.0105175508347983</v>
      </c>
      <c r="Z21" s="26">
        <f>Table1[[#This Row],[Macaulay Duration in Years]]/(1+Table1[[#This Row],[IRR]])</f>
        <v>3.3821131138716289</v>
      </c>
      <c r="AA21" s="27">
        <f>VLOOKUP(Table1[[#This Row],[Yield Cluster]],'[1]Cluster Details'!$B$3:$C$16,2,0)</f>
        <v>0.1712257899185532</v>
      </c>
      <c r="AB21" s="28">
        <f>PRICE(Table1[[#This Row],[Issue date]],Table1[[#This Row],[Maturity date]],Table1[[#This Row],[Current coupon %]],Table1[[#This Row],[Average Cluster Yield]],100,Table1[[#This Row],[Coupon Frequency2]])*Table1[[#This Row],[Face value]]/100</f>
        <v>777.55013942511175</v>
      </c>
      <c r="AC21" s="27" t="str">
        <f>IF(Table1[[#This Row],[Ask Price]]&gt;Table1[[#This Row],[Calculated Bond Price]],"Rich","Cheap")</f>
        <v>Cheap</v>
      </c>
      <c r="AD21" s="28">
        <f>PRICE(Table1[[#This Row],[Issue date]],Table1[[#This Row],[Maturity date]],Table1[[#This Row],[Current coupon %]],Table1[[#This Row],[Yield (Annualised)]]+$AE$2,100,Table1[[#This Row],[Coupon Frequency2]])*Table1[[#This Row],[Face value]]/100</f>
        <v>715.35338640467785</v>
      </c>
      <c r="AE21" s="28">
        <f>PRICE(Table1[[#This Row],[Issue date]],Table1[[#This Row],[Maturity date]],Table1[[#This Row],[Current coupon %]],Table1[[#This Row],[Yield (Annualised)]]-$AE$2,100,Table1[[#This Row],[Coupon Frequency2]])*Table1[[#This Row],[Face value]]/100</f>
        <v>765.41727168367743</v>
      </c>
      <c r="AF21" s="28">
        <f>(Table1[[#This Row],[P (+ shock)]]+Table1[[#This Row],[P (-shock)]]-2*Table1[[#This Row],[Ask Price]])/(2*Table1[[#This Row],[Ask Price]]*($AE$2^2))</f>
        <v>7.9119903241103469</v>
      </c>
    </row>
    <row r="22" spans="1:32" x14ac:dyDescent="0.25">
      <c r="A22" s="21" t="s">
        <v>154</v>
      </c>
      <c r="B22" s="3" t="s">
        <v>155</v>
      </c>
      <c r="C22" s="3" t="s">
        <v>19</v>
      </c>
      <c r="D22" s="4">
        <v>45743</v>
      </c>
      <c r="E22" s="4">
        <v>46657</v>
      </c>
      <c r="F22" s="3">
        <v>100000</v>
      </c>
      <c r="G22" s="3" t="s">
        <v>20</v>
      </c>
      <c r="H22" s="3">
        <v>83000</v>
      </c>
      <c r="I22" s="3" t="s">
        <v>20</v>
      </c>
      <c r="J22" s="3">
        <v>83</v>
      </c>
      <c r="K22" s="3">
        <v>1</v>
      </c>
      <c r="L22" s="5">
        <v>0.11349999999999999</v>
      </c>
      <c r="M22" s="3" t="s">
        <v>44</v>
      </c>
      <c r="N22" s="3">
        <v>740</v>
      </c>
      <c r="O22" s="6">
        <f>Table1[[#This Row],[Current coupon %]]*Table1[[#This Row],[Face value]]/Table1[[#This Row],[Ask Price]]</f>
        <v>0.1367469879518072</v>
      </c>
      <c r="P22" s="3"/>
      <c r="Q22" s="3" t="s">
        <v>22</v>
      </c>
      <c r="R22">
        <f t="shared" si="0"/>
        <v>3</v>
      </c>
      <c r="S22" s="22" cm="1">
        <f t="array" ref="S22">_xlfn.IFS(Table1[[#This Row],[Coupon frequency]]="Semi-annual",2,Table1[[#This Row],[Coupon frequency]]="Quarterly",4,Table1[[#This Row],[Coupon frequency]]="Annual",1,Table1[[#This Row],[Coupon frequency]]="Every 4 months",3,Table1[[#This Row],[Coupon frequency]]="Monthly",12)</f>
        <v>4</v>
      </c>
      <c r="T22">
        <f>Table1[[#This Row],[Term to Maturity (Years)]]*Table1[[#This Row],[Coupon Frequency2]]</f>
        <v>12</v>
      </c>
      <c r="U22">
        <f>Table1[[#This Row],[Face value]]*Table1[[#This Row],[Current coupon %]]/Table1[[#This Row],[Coupon Frequency2]]</f>
        <v>2837.4999999999995</v>
      </c>
      <c r="V22" s="23">
        <f>RATE(Table1[[#This Row],[Total No. of Coupons]],Table1[[#This Row],[Coupon Amount]],-Table1[[#This Row],[Ask Price]],Table1[[#This Row],[Face value]])</f>
        <v>4.7260068310776455E-2</v>
      </c>
      <c r="W22" s="24">
        <f>Table1[[#This Row],[IRR]]*Table1[[#This Row],[Coupon Frequency2]]</f>
        <v>0.18904027324310582</v>
      </c>
      <c r="X22" s="25" cm="1">
        <f t="array" ref="X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22" s="26">
        <f>DURATION(Table1[[#This Row],[Issue date]],Table1[[#This Row],[Maturity date]],Table1[[#This Row],[Current coupon %]],Table1[[#This Row],[Yield (Annualised)]],Table1[[#This Row],[Coupon Frequency2]])</f>
        <v>2.182148291623168</v>
      </c>
      <c r="Z22" s="26">
        <f>Table1[[#This Row],[Macaulay Duration in Years]]/(1+Table1[[#This Row],[IRR]])</f>
        <v>2.0836737288598797</v>
      </c>
      <c r="AA22" s="27">
        <f>VLOOKUP(Table1[[#This Row],[Yield Cluster]],'[1]Cluster Details'!$B$3:$C$16,2,0)</f>
        <v>0.1712257899185532</v>
      </c>
      <c r="AB22" s="28">
        <f>PRICE(Table1[[#This Row],[Issue date]],Table1[[#This Row],[Maturity date]],Table1[[#This Row],[Current coupon %]],Table1[[#This Row],[Average Cluster Yield]],100,Table1[[#This Row],[Coupon Frequency2]])*Table1[[#This Row],[Face value]]/100</f>
        <v>88456.638052899973</v>
      </c>
      <c r="AC22" s="27" t="str">
        <f>IF(Table1[[#This Row],[Ask Price]]&gt;Table1[[#This Row],[Calculated Bond Price]],"Rich","Cheap")</f>
        <v>Cheap</v>
      </c>
      <c r="AD22" s="28">
        <f>PRICE(Table1[[#This Row],[Issue date]],Table1[[#This Row],[Maturity date]],Table1[[#This Row],[Current coupon %]],Table1[[#This Row],[Yield (Annualised)]]+$AE$2,100,Table1[[#This Row],[Coupon Frequency2]])*Table1[[#This Row],[Face value]]/100</f>
        <v>83467.759683438955</v>
      </c>
      <c r="AE22" s="28">
        <f>PRICE(Table1[[#This Row],[Issue date]],Table1[[#This Row],[Maturity date]],Table1[[#This Row],[Current coupon %]],Table1[[#This Row],[Yield (Annualised)]]-$AE$2,100,Table1[[#This Row],[Coupon Frequency2]])*Table1[[#This Row],[Face value]]/100</f>
        <v>87019.64887316199</v>
      </c>
      <c r="AF22" s="28">
        <f>(Table1[[#This Row],[P (+ shock)]]+Table1[[#This Row],[P (-shock)]]-2*Table1[[#This Row],[Ask Price]])/(2*Table1[[#This Row],[Ask Price]]*($AE$2^2))</f>
        <v>270.32581666270755</v>
      </c>
    </row>
    <row r="23" spans="1:32" x14ac:dyDescent="0.25">
      <c r="A23" s="21" t="s">
        <v>156</v>
      </c>
      <c r="B23" s="3" t="s">
        <v>157</v>
      </c>
      <c r="C23" s="3" t="s">
        <v>19</v>
      </c>
      <c r="D23" s="4">
        <v>44923</v>
      </c>
      <c r="E23" s="4">
        <v>46749</v>
      </c>
      <c r="F23" s="3">
        <v>1000</v>
      </c>
      <c r="G23" s="3" t="s">
        <v>20</v>
      </c>
      <c r="H23" s="3">
        <v>716.87</v>
      </c>
      <c r="I23" s="3" t="s">
        <v>20</v>
      </c>
      <c r="J23" s="3">
        <v>71.686999999999998</v>
      </c>
      <c r="K23" s="3">
        <v>3</v>
      </c>
      <c r="L23" s="5">
        <v>9.8000000000000004E-2</v>
      </c>
      <c r="M23" s="3" t="s">
        <v>21</v>
      </c>
      <c r="N23" s="3">
        <v>832</v>
      </c>
      <c r="O23" s="6">
        <f>Table1[[#This Row],[Current coupon %]]*Table1[[#This Row],[Face value]]/Table1[[#This Row],[Ask Price]]</f>
        <v>0.13670539986329461</v>
      </c>
      <c r="P23" s="3" t="s">
        <v>25</v>
      </c>
      <c r="Q23" s="3" t="s">
        <v>22</v>
      </c>
      <c r="R23">
        <f t="shared" si="0"/>
        <v>5</v>
      </c>
      <c r="S23" s="22" cm="1">
        <f t="array" ref="S23">_xlfn.IFS(Table1[[#This Row],[Coupon frequency]]="Semi-annual",2,Table1[[#This Row],[Coupon frequency]]="Quarterly",4,Table1[[#This Row],[Coupon frequency]]="Annual",1,Table1[[#This Row],[Coupon frequency]]="Every 4 months",3,Table1[[#This Row],[Coupon frequency]]="Monthly",12)</f>
        <v>1</v>
      </c>
      <c r="T23">
        <f>Table1[[#This Row],[Term to Maturity (Years)]]*Table1[[#This Row],[Coupon Frequency2]]</f>
        <v>5</v>
      </c>
      <c r="U23">
        <f>Table1[[#This Row],[Face value]]*Table1[[#This Row],[Current coupon %]]/Table1[[#This Row],[Coupon Frequency2]]</f>
        <v>98</v>
      </c>
      <c r="V23" s="23">
        <f>RATE(Table1[[#This Row],[Total No. of Coupons]],Table1[[#This Row],[Coupon Amount]],-Table1[[#This Row],[Ask Price]],Table1[[#This Row],[Face value]])</f>
        <v>0.19075352592423686</v>
      </c>
      <c r="W23" s="24">
        <f>Table1[[#This Row],[IRR]]*Table1[[#This Row],[Coupon Frequency2]]</f>
        <v>0.19075352592423686</v>
      </c>
      <c r="X23" s="25" cm="1">
        <f t="array" ref="X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23" s="26">
        <f>DURATION(Table1[[#This Row],[Issue date]],Table1[[#This Row],[Maturity date]],Table1[[#This Row],[Current coupon %]],Table1[[#This Row],[Yield (Annualised)]],Table1[[#This Row],[Coupon Frequency2]])</f>
        <v>4.0215968393737942</v>
      </c>
      <c r="Z23" s="26">
        <f>Table1[[#This Row],[Macaulay Duration in Years]]/(1+Table1[[#This Row],[IRR]])</f>
        <v>3.3773545505584952</v>
      </c>
      <c r="AA23" s="27">
        <f>VLOOKUP(Table1[[#This Row],[Yield Cluster]],'[1]Cluster Details'!$B$3:$C$16,2,0)</f>
        <v>0.1712257899185532</v>
      </c>
      <c r="AB23" s="28">
        <f>PRICE(Table1[[#This Row],[Issue date]],Table1[[#This Row],[Maturity date]],Table1[[#This Row],[Current coupon %]],Table1[[#This Row],[Average Cluster Yield]],100,Table1[[#This Row],[Coupon Frequency2]])*Table1[[#This Row],[Face value]]/100</f>
        <v>766.38390505298685</v>
      </c>
      <c r="AC23" s="27" t="str">
        <f>IF(Table1[[#This Row],[Ask Price]]&gt;Table1[[#This Row],[Calculated Bond Price]],"Rich","Cheap")</f>
        <v>Cheap</v>
      </c>
      <c r="AD23" s="28">
        <f>PRICE(Table1[[#This Row],[Issue date]],Table1[[#This Row],[Maturity date]],Table1[[#This Row],[Current coupon %]],Table1[[#This Row],[Yield (Annualised)]]+$AE$2,100,Table1[[#This Row],[Coupon Frequency2]])*Table1[[#This Row],[Face value]]/100</f>
        <v>693.2128802295764</v>
      </c>
      <c r="AE23" s="28">
        <f>PRICE(Table1[[#This Row],[Issue date]],Table1[[#This Row],[Maturity date]],Table1[[#This Row],[Current coupon %]],Table1[[#This Row],[Yield (Annualised)]]-$AE$2,100,Table1[[#This Row],[Coupon Frequency2]])*Table1[[#This Row],[Face value]]/100</f>
        <v>741.65665227534498</v>
      </c>
      <c r="AF23" s="28">
        <f>(Table1[[#This Row],[P (+ shock)]]+Table1[[#This Row],[P (-shock)]]-2*Table1[[#This Row],[Ask Price]])/(2*Table1[[#This Row],[Ask Price]]*($AE$2^2))</f>
        <v>7.8782241195849423</v>
      </c>
    </row>
    <row r="24" spans="1:32" x14ac:dyDescent="0.25">
      <c r="A24" s="21" t="s">
        <v>158</v>
      </c>
      <c r="B24" s="3" t="s">
        <v>159</v>
      </c>
      <c r="C24" s="3" t="s">
        <v>19</v>
      </c>
      <c r="D24" s="4">
        <v>45866</v>
      </c>
      <c r="E24" s="4">
        <v>47691</v>
      </c>
      <c r="F24" s="3">
        <v>1000</v>
      </c>
      <c r="G24" s="3" t="s">
        <v>20</v>
      </c>
      <c r="H24" s="3">
        <v>820.89</v>
      </c>
      <c r="I24" s="3" t="s">
        <v>20</v>
      </c>
      <c r="J24" s="3">
        <v>82.088999999999999</v>
      </c>
      <c r="K24" s="3">
        <v>1</v>
      </c>
      <c r="L24" s="5">
        <v>0.11</v>
      </c>
      <c r="M24" s="3" t="s">
        <v>21</v>
      </c>
      <c r="N24" s="3">
        <v>1774</v>
      </c>
      <c r="O24" s="6">
        <f>Table1[[#This Row],[Current coupon %]]*Table1[[#This Row],[Face value]]/Table1[[#This Row],[Ask Price]]</f>
        <v>0.13400090146060983</v>
      </c>
      <c r="P24" s="3"/>
      <c r="Q24" s="3" t="s">
        <v>22</v>
      </c>
      <c r="R24">
        <f t="shared" si="0"/>
        <v>5</v>
      </c>
      <c r="S24" s="22" cm="1">
        <f t="array" ref="S24">_xlfn.IFS(Table1[[#This Row],[Coupon frequency]]="Semi-annual",2,Table1[[#This Row],[Coupon frequency]]="Quarterly",4,Table1[[#This Row],[Coupon frequency]]="Annual",1,Table1[[#This Row],[Coupon frequency]]="Every 4 months",3,Table1[[#This Row],[Coupon frequency]]="Monthly",12)</f>
        <v>1</v>
      </c>
      <c r="T24">
        <f>Table1[[#This Row],[Term to Maturity (Years)]]*Table1[[#This Row],[Coupon Frequency2]]</f>
        <v>5</v>
      </c>
      <c r="U24">
        <f>Table1[[#This Row],[Face value]]*Table1[[#This Row],[Current coupon %]]/Table1[[#This Row],[Coupon Frequency2]]</f>
        <v>110</v>
      </c>
      <c r="V24" s="23">
        <f>RATE(Table1[[#This Row],[Total No. of Coupons]],Table1[[#This Row],[Coupon Amount]],-Table1[[#This Row],[Ask Price]],Table1[[#This Row],[Face value]])</f>
        <v>0.16539141516105216</v>
      </c>
      <c r="W24" s="24">
        <f>Table1[[#This Row],[IRR]]*Table1[[#This Row],[Coupon Frequency2]]</f>
        <v>0.16539141516105216</v>
      </c>
      <c r="X24" s="25" cm="1">
        <f t="array" ref="X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24" s="26">
        <f>DURATION(Table1[[#This Row],[Issue date]],Table1[[#This Row],[Maturity date]],Table1[[#This Row],[Current coupon %]],Table1[[#This Row],[Yield (Annualised)]],Table1[[#This Row],[Coupon Frequency2]])</f>
        <v>3.999319229097213</v>
      </c>
      <c r="Z24" s="26">
        <f>Table1[[#This Row],[Macaulay Duration in Years]]/(1+Table1[[#This Row],[IRR]])</f>
        <v>3.4317390509904553</v>
      </c>
      <c r="AA24" s="27">
        <f>VLOOKUP(Table1[[#This Row],[Yield Cluster]],'[1]Cluster Details'!$B$3:$C$16,2,0)</f>
        <v>0.1712257899185532</v>
      </c>
      <c r="AB24" s="28">
        <f>PRICE(Table1[[#This Row],[Issue date]],Table1[[#This Row],[Maturity date]],Table1[[#This Row],[Current coupon %]],Table1[[#This Row],[Average Cluster Yield]],100,Table1[[#This Row],[Coupon Frequency2]])*Table1[[#This Row],[Face value]]/100</f>
        <v>804.71593283085133</v>
      </c>
      <c r="AC24" s="27" t="str">
        <f>IF(Table1[[#This Row],[Ask Price]]&gt;Table1[[#This Row],[Calculated Bond Price]],"Rich","Cheap")</f>
        <v>Rich</v>
      </c>
      <c r="AD24" s="28">
        <f>PRICE(Table1[[#This Row],[Issue date]],Table1[[#This Row],[Maturity date]],Table1[[#This Row],[Current coupon %]],Table1[[#This Row],[Yield (Annualised)]]+$AE$2,100,Table1[[#This Row],[Coupon Frequency2]])*Table1[[#This Row],[Face value]]/100</f>
        <v>793.4073881230288</v>
      </c>
      <c r="AE24" s="28">
        <f>PRICE(Table1[[#This Row],[Issue date]],Table1[[#This Row],[Maturity date]],Table1[[#This Row],[Current coupon %]],Table1[[#This Row],[Yield (Annualised)]]-$AE$2,100,Table1[[#This Row],[Coupon Frequency2]])*Table1[[#This Row],[Face value]]/100</f>
        <v>849.79868292020353</v>
      </c>
      <c r="AF24" s="28">
        <f>(Table1[[#This Row],[P (+ shock)]]+Table1[[#This Row],[P (-shock)]]-2*Table1[[#This Row],[Ask Price]])/(2*Table1[[#This Row],[Ask Price]]*($AE$2^2))</f>
        <v>8.6861275154555937</v>
      </c>
    </row>
    <row r="25" spans="1:32" x14ac:dyDescent="0.25">
      <c r="A25" s="21" t="s">
        <v>160</v>
      </c>
      <c r="B25" s="3" t="s">
        <v>161</v>
      </c>
      <c r="C25" s="3" t="s">
        <v>19</v>
      </c>
      <c r="D25" s="4">
        <v>45134</v>
      </c>
      <c r="E25" s="4">
        <v>46961</v>
      </c>
      <c r="F25" s="3">
        <v>1000</v>
      </c>
      <c r="G25" s="3" t="s">
        <v>20</v>
      </c>
      <c r="H25" s="3">
        <v>780.39</v>
      </c>
      <c r="I25" s="3" t="s">
        <v>20</v>
      </c>
      <c r="J25" s="3">
        <v>78.039000000000001</v>
      </c>
      <c r="K25" s="3">
        <v>20</v>
      </c>
      <c r="L25" s="5">
        <v>0.10150000000000001</v>
      </c>
      <c r="M25" s="3" t="s">
        <v>21</v>
      </c>
      <c r="N25" s="3">
        <v>1044</v>
      </c>
      <c r="O25" s="6">
        <f>Table1[[#This Row],[Current coupon %]]*Table1[[#This Row],[Face value]]/Table1[[#This Row],[Ask Price]]</f>
        <v>0.1300631735414344</v>
      </c>
      <c r="P25" s="3" t="s">
        <v>25</v>
      </c>
      <c r="Q25" s="3" t="s">
        <v>22</v>
      </c>
      <c r="R25">
        <f t="shared" si="0"/>
        <v>5</v>
      </c>
      <c r="S25" s="22" cm="1">
        <f t="array" ref="S25">_xlfn.IFS(Table1[[#This Row],[Coupon frequency]]="Semi-annual",2,Table1[[#This Row],[Coupon frequency]]="Quarterly",4,Table1[[#This Row],[Coupon frequency]]="Annual",1,Table1[[#This Row],[Coupon frequency]]="Every 4 months",3,Table1[[#This Row],[Coupon frequency]]="Monthly",12)</f>
        <v>1</v>
      </c>
      <c r="T25">
        <f>Table1[[#This Row],[Term to Maturity (Years)]]*Table1[[#This Row],[Coupon Frequency2]]</f>
        <v>5</v>
      </c>
      <c r="U25">
        <f>Table1[[#This Row],[Face value]]*Table1[[#This Row],[Current coupon %]]/Table1[[#This Row],[Coupon Frequency2]]</f>
        <v>101.5</v>
      </c>
      <c r="V25" s="23">
        <f>RATE(Table1[[#This Row],[Total No. of Coupons]],Table1[[#This Row],[Coupon Amount]],-Table1[[#This Row],[Ask Price]],Table1[[#This Row],[Face value]])</f>
        <v>0.1701687820459295</v>
      </c>
      <c r="W25" s="24">
        <f>Table1[[#This Row],[IRR]]*Table1[[#This Row],[Coupon Frequency2]]</f>
        <v>0.1701687820459295</v>
      </c>
      <c r="X25" s="25" cm="1">
        <f t="array" ref="X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25" s="26">
        <f>DURATION(Table1[[#This Row],[Issue date]],Table1[[#This Row],[Maturity date]],Table1[[#This Row],[Current coupon %]],Table1[[#This Row],[Yield (Annualised)]],Table1[[#This Row],[Coupon Frequency2]])</f>
        <v>4.0387340569019887</v>
      </c>
      <c r="Z25" s="26">
        <f>Table1[[#This Row],[Macaulay Duration in Years]]/(1+Table1[[#This Row],[IRR]])</f>
        <v>3.451411556066847</v>
      </c>
      <c r="AA25" s="27">
        <f>VLOOKUP(Table1[[#This Row],[Yield Cluster]],'[1]Cluster Details'!$B$3:$C$16,2,0)</f>
        <v>0.1712257899185532</v>
      </c>
      <c r="AB25" s="28">
        <f>PRICE(Table1[[#This Row],[Issue date]],Table1[[#This Row],[Maturity date]],Table1[[#This Row],[Current coupon %]],Table1[[#This Row],[Average Cluster Yield]],100,Table1[[#This Row],[Coupon Frequency2]])*Table1[[#This Row],[Face value]]/100</f>
        <v>777.55013942511175</v>
      </c>
      <c r="AC25" s="27" t="str">
        <f>IF(Table1[[#This Row],[Ask Price]]&gt;Table1[[#This Row],[Calculated Bond Price]],"Rich","Cheap")</f>
        <v>Rich</v>
      </c>
      <c r="AD25" s="28">
        <f>PRICE(Table1[[#This Row],[Issue date]],Table1[[#This Row],[Maturity date]],Table1[[#This Row],[Current coupon %]],Table1[[#This Row],[Yield (Annualised)]]+$AE$2,100,Table1[[#This Row],[Coupon Frequency2]])*Table1[[#This Row],[Face value]]/100</f>
        <v>754.08328759617575</v>
      </c>
      <c r="AE25" s="28">
        <f>PRICE(Table1[[#This Row],[Issue date]],Table1[[#This Row],[Maturity date]],Table1[[#This Row],[Current coupon %]],Table1[[#This Row],[Yield (Annualised)]]-$AE$2,100,Table1[[#This Row],[Coupon Frequency2]])*Table1[[#This Row],[Face value]]/100</f>
        <v>807.97678837529179</v>
      </c>
      <c r="AF25" s="28">
        <f>(Table1[[#This Row],[P (+ shock)]]+Table1[[#This Row],[P (-shock)]]-2*Table1[[#This Row],[Ask Price]])/(2*Table1[[#This Row],[Ask Price]]*($AE$2^2))</f>
        <v>8.2015144444929327</v>
      </c>
    </row>
    <row r="26" spans="1:32" x14ac:dyDescent="0.25">
      <c r="A26" s="21" t="s">
        <v>28</v>
      </c>
      <c r="B26" s="3" t="s">
        <v>29</v>
      </c>
      <c r="C26" s="3" t="s">
        <v>19</v>
      </c>
      <c r="D26" s="4">
        <v>45663</v>
      </c>
      <c r="E26" s="4">
        <v>49315</v>
      </c>
      <c r="F26" s="3">
        <v>1000</v>
      </c>
      <c r="G26" s="3" t="s">
        <v>20</v>
      </c>
      <c r="H26" s="3">
        <v>860</v>
      </c>
      <c r="I26" s="3" t="s">
        <v>20</v>
      </c>
      <c r="J26" s="3">
        <v>86</v>
      </c>
      <c r="K26" s="3">
        <v>100</v>
      </c>
      <c r="L26" s="5">
        <v>0.11</v>
      </c>
      <c r="M26" s="3" t="s">
        <v>21</v>
      </c>
      <c r="N26" s="3">
        <v>3398</v>
      </c>
      <c r="O26" s="6">
        <f>Table1[[#This Row],[Current coupon %]]*Table1[[#This Row],[Face value]]/Table1[[#This Row],[Ask Price]]</f>
        <v>0.12790697674418605</v>
      </c>
      <c r="P26" s="3"/>
      <c r="Q26" s="3" t="s">
        <v>22</v>
      </c>
      <c r="R26">
        <f t="shared" si="0"/>
        <v>10</v>
      </c>
      <c r="S26" s="22" cm="1">
        <f t="array" ref="S26">_xlfn.IFS(Table1[[#This Row],[Coupon frequency]]="Semi-annual",2,Table1[[#This Row],[Coupon frequency]]="Quarterly",4,Table1[[#This Row],[Coupon frequency]]="Annual",1,Table1[[#This Row],[Coupon frequency]]="Every 4 months",3,Table1[[#This Row],[Coupon frequency]]="Monthly",12)</f>
        <v>1</v>
      </c>
      <c r="T26">
        <f>Table1[[#This Row],[Term to Maturity (Years)]]*Table1[[#This Row],[Coupon Frequency2]]</f>
        <v>10</v>
      </c>
      <c r="U26">
        <f>Table1[[#This Row],[Face value]]*Table1[[#This Row],[Current coupon %]]/Table1[[#This Row],[Coupon Frequency2]]</f>
        <v>110</v>
      </c>
      <c r="V26" s="23">
        <f>RATE(Table1[[#This Row],[Total No. of Coupons]],Table1[[#This Row],[Coupon Amount]],-Table1[[#This Row],[Ask Price]],Table1[[#This Row],[Face value]])</f>
        <v>0.13647127483476268</v>
      </c>
      <c r="W26" s="24">
        <f>Table1[[#This Row],[IRR]]*Table1[[#This Row],[Coupon Frequency2]]</f>
        <v>0.13647127483476268</v>
      </c>
      <c r="X26" s="25" cm="1">
        <f t="array" ref="X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6" s="26">
        <f>DURATION(Table1[[#This Row],[Issue date]],Table1[[#This Row],[Maturity date]],Table1[[#This Row],[Current coupon %]],Table1[[#This Row],[Yield (Annualised)]],Table1[[#This Row],[Coupon Frequency2]])</f>
        <v>6.2608758291441182</v>
      </c>
      <c r="Z26" s="26">
        <f>Table1[[#This Row],[Macaulay Duration in Years]]/(1+Table1[[#This Row],[IRR]])</f>
        <v>5.5090489023177627</v>
      </c>
      <c r="AA26" s="27">
        <f>VLOOKUP(Table1[[#This Row],[Yield Cluster]],'[1]Cluster Details'!$B$3:$C$16,2,0)</f>
        <v>0.11069942689191503</v>
      </c>
      <c r="AB26" s="28">
        <f>PRICE(Table1[[#This Row],[Issue date]],Table1[[#This Row],[Maturity date]],Table1[[#This Row],[Current coupon %]],Table1[[#This Row],[Average Cluster Yield]],100,Table1[[#This Row],[Coupon Frequency2]])*Table1[[#This Row],[Face value]]/100</f>
        <v>995.89296541778106</v>
      </c>
      <c r="AC26" s="27" t="str">
        <f>IF(Table1[[#This Row],[Ask Price]]&gt;Table1[[#This Row],[Calculated Bond Price]],"Rich","Cheap")</f>
        <v>Cheap</v>
      </c>
      <c r="AD26" s="28">
        <f>PRICE(Table1[[#This Row],[Issue date]],Table1[[#This Row],[Maturity date]],Table1[[#This Row],[Current coupon %]],Table1[[#This Row],[Yield (Annualised)]]+$AE$2,100,Table1[[#This Row],[Coupon Frequency2]])*Table1[[#This Row],[Face value]]/100</f>
        <v>814.47023346801643</v>
      </c>
      <c r="AE26" s="28">
        <f>PRICE(Table1[[#This Row],[Issue date]],Table1[[#This Row],[Maturity date]],Table1[[#This Row],[Current coupon %]],Table1[[#This Row],[Yield (Annualised)]]-$AE$2,100,Table1[[#This Row],[Coupon Frequency2]])*Table1[[#This Row],[Face value]]/100</f>
        <v>909.34803461298998</v>
      </c>
      <c r="AF26" s="28">
        <f>(Table1[[#This Row],[P (+ shock)]]+Table1[[#This Row],[P (-shock)]]-2*Table1[[#This Row],[Ask Price]])/(2*Table1[[#This Row],[Ask Price]]*($AE$2^2))</f>
        <v>22.199233029107024</v>
      </c>
    </row>
    <row r="27" spans="1:32" x14ac:dyDescent="0.25">
      <c r="A27" s="21" t="s">
        <v>162</v>
      </c>
      <c r="B27" s="3" t="s">
        <v>163</v>
      </c>
      <c r="C27" s="3" t="s">
        <v>19</v>
      </c>
      <c r="D27" s="4">
        <v>45827</v>
      </c>
      <c r="E27" s="4">
        <v>49479</v>
      </c>
      <c r="F27" s="3">
        <v>100000</v>
      </c>
      <c r="G27" s="3" t="s">
        <v>20</v>
      </c>
      <c r="H27" s="3">
        <v>77000</v>
      </c>
      <c r="I27" s="3" t="s">
        <v>20</v>
      </c>
      <c r="J27" s="3">
        <v>77</v>
      </c>
      <c r="K27" s="3">
        <v>5</v>
      </c>
      <c r="L27" s="5">
        <v>9.7500000000000003E-2</v>
      </c>
      <c r="M27" s="3" t="s">
        <v>21</v>
      </c>
      <c r="N27" s="3">
        <v>3562</v>
      </c>
      <c r="O27" s="6">
        <f>Table1[[#This Row],[Current coupon %]]*Table1[[#This Row],[Face value]]/Table1[[#This Row],[Ask Price]]</f>
        <v>0.12662337662337661</v>
      </c>
      <c r="P27" s="3" t="s">
        <v>25</v>
      </c>
      <c r="Q27" s="3" t="s">
        <v>22</v>
      </c>
      <c r="R27">
        <f t="shared" si="0"/>
        <v>10</v>
      </c>
      <c r="S27" s="22" cm="1">
        <f t="array" ref="S27">_xlfn.IFS(Table1[[#This Row],[Coupon frequency]]="Semi-annual",2,Table1[[#This Row],[Coupon frequency]]="Quarterly",4,Table1[[#This Row],[Coupon frequency]]="Annual",1,Table1[[#This Row],[Coupon frequency]]="Every 4 months",3,Table1[[#This Row],[Coupon frequency]]="Monthly",12)</f>
        <v>1</v>
      </c>
      <c r="T27">
        <f>Table1[[#This Row],[Term to Maturity (Years)]]*Table1[[#This Row],[Coupon Frequency2]]</f>
        <v>10</v>
      </c>
      <c r="U27">
        <f>Table1[[#This Row],[Face value]]*Table1[[#This Row],[Current coupon %]]/Table1[[#This Row],[Coupon Frequency2]]</f>
        <v>9750</v>
      </c>
      <c r="V27" s="23">
        <f>RATE(Table1[[#This Row],[Total No. of Coupons]],Table1[[#This Row],[Coupon Amount]],-Table1[[#This Row],[Ask Price]],Table1[[#This Row],[Face value]])</f>
        <v>0.14192604392185745</v>
      </c>
      <c r="W27" s="24">
        <f>Table1[[#This Row],[IRR]]*Table1[[#This Row],[Coupon Frequency2]]</f>
        <v>0.14192604392185745</v>
      </c>
      <c r="X27" s="25" cm="1">
        <f t="array" ref="X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7" s="26">
        <f>DURATION(Table1[[#This Row],[Issue date]],Table1[[#This Row],[Maturity date]],Table1[[#This Row],[Current coupon %]],Table1[[#This Row],[Yield (Annualised)]],Table1[[#This Row],[Coupon Frequency2]])</f>
        <v>6.3526980139193814</v>
      </c>
      <c r="Z27" s="26">
        <f>Table1[[#This Row],[Macaulay Duration in Years]]/(1+Table1[[#This Row],[IRR]])</f>
        <v>5.5631431192352236</v>
      </c>
      <c r="AA27" s="27">
        <f>VLOOKUP(Table1[[#This Row],[Yield Cluster]],'[1]Cluster Details'!$B$3:$C$16,2,0)</f>
        <v>0.11069942689191503</v>
      </c>
      <c r="AB27" s="28">
        <f>PRICE(Table1[[#This Row],[Issue date]],Table1[[#This Row],[Maturity date]],Table1[[#This Row],[Current coupon %]],Table1[[#This Row],[Average Cluster Yield]],100,Table1[[#This Row],[Coupon Frequency2]])*Table1[[#This Row],[Face value]]/100</f>
        <v>92249.296768939734</v>
      </c>
      <c r="AC27" s="27" t="str">
        <f>IF(Table1[[#This Row],[Ask Price]]&gt;Table1[[#This Row],[Calculated Bond Price]],"Rich","Cheap")</f>
        <v>Cheap</v>
      </c>
      <c r="AD27" s="28">
        <f>PRICE(Table1[[#This Row],[Issue date]],Table1[[#This Row],[Maturity date]],Table1[[#This Row],[Current coupon %]],Table1[[#This Row],[Yield (Annualised)]]+$AE$2,100,Table1[[#This Row],[Coupon Frequency2]])*Table1[[#This Row],[Face value]]/100</f>
        <v>72884.165269886027</v>
      </c>
      <c r="AE27" s="28">
        <f>PRICE(Table1[[#This Row],[Issue date]],Table1[[#This Row],[Maturity date]],Table1[[#This Row],[Current coupon %]],Table1[[#This Row],[Yield (Annualised)]]-$AE$2,100,Table1[[#This Row],[Coupon Frequency2]])*Table1[[#This Row],[Face value]]/100</f>
        <v>81462.506813333006</v>
      </c>
      <c r="AF27" s="28">
        <f>(Table1[[#This Row],[P (+ shock)]]+Table1[[#This Row],[P (-shock)]]-2*Table1[[#This Row],[Ask Price]])/(2*Table1[[#This Row],[Ask Price]]*($AE$2^2))</f>
        <v>22.511174235003093</v>
      </c>
    </row>
    <row r="28" spans="1:32" x14ac:dyDescent="0.25">
      <c r="A28" s="21" t="s">
        <v>30</v>
      </c>
      <c r="B28" s="3" t="s">
        <v>31</v>
      </c>
      <c r="C28" s="3" t="s">
        <v>19</v>
      </c>
      <c r="D28" s="4">
        <v>45735</v>
      </c>
      <c r="E28" s="4">
        <v>46831</v>
      </c>
      <c r="F28" s="3">
        <v>1000</v>
      </c>
      <c r="G28" s="3" t="s">
        <v>20</v>
      </c>
      <c r="H28" s="3">
        <v>925</v>
      </c>
      <c r="I28" s="3" t="s">
        <v>20</v>
      </c>
      <c r="J28" s="3">
        <v>92.5</v>
      </c>
      <c r="K28" s="3">
        <v>100</v>
      </c>
      <c r="L28" s="5">
        <v>9.9000000000000005E-2</v>
      </c>
      <c r="M28" s="3" t="s">
        <v>21</v>
      </c>
      <c r="N28" s="3">
        <v>914</v>
      </c>
      <c r="O28" s="6">
        <f>Table1[[#This Row],[Current coupon %]]*Table1[[#This Row],[Face value]]/Table1[[#This Row],[Ask Price]]</f>
        <v>0.10702702702702703</v>
      </c>
      <c r="P28" s="3" t="s">
        <v>25</v>
      </c>
      <c r="Q28" s="3" t="s">
        <v>22</v>
      </c>
      <c r="R28">
        <f t="shared" si="0"/>
        <v>3</v>
      </c>
      <c r="S28" s="22" cm="1">
        <f t="array" ref="S28">_xlfn.IFS(Table1[[#This Row],[Coupon frequency]]="Semi-annual",2,Table1[[#This Row],[Coupon frequency]]="Quarterly",4,Table1[[#This Row],[Coupon frequency]]="Annual",1,Table1[[#This Row],[Coupon frequency]]="Every 4 months",3,Table1[[#This Row],[Coupon frequency]]="Monthly",12)</f>
        <v>1</v>
      </c>
      <c r="T28">
        <f>Table1[[#This Row],[Term to Maturity (Years)]]*Table1[[#This Row],[Coupon Frequency2]]</f>
        <v>3</v>
      </c>
      <c r="U28">
        <f>Table1[[#This Row],[Face value]]*Table1[[#This Row],[Current coupon %]]/Table1[[#This Row],[Coupon Frequency2]]</f>
        <v>99</v>
      </c>
      <c r="V28" s="23">
        <f>RATE(Table1[[#This Row],[Total No. of Coupons]],Table1[[#This Row],[Coupon Amount]],-Table1[[#This Row],[Ask Price]],Table1[[#This Row],[Face value]])</f>
        <v>0.13080772118680353</v>
      </c>
      <c r="W28" s="24">
        <f>Table1[[#This Row],[IRR]]*Table1[[#This Row],[Coupon Frequency2]]</f>
        <v>0.13080772118680353</v>
      </c>
      <c r="X28" s="25" cm="1">
        <f t="array" ref="X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8" s="26">
        <f>DURATION(Table1[[#This Row],[Issue date]],Table1[[#This Row],[Maturity date]],Table1[[#This Row],[Current coupon %]],Table1[[#This Row],[Yield (Annualised)]],Table1[[#This Row],[Coupon Frequency2]])</f>
        <v>2.7270087757834887</v>
      </c>
      <c r="Z28" s="26">
        <f>Table1[[#This Row],[Macaulay Duration in Years]]/(1+Table1[[#This Row],[IRR]])</f>
        <v>2.4115583265751339</v>
      </c>
      <c r="AA28" s="27">
        <f>VLOOKUP(Table1[[#This Row],[Yield Cluster]],'[1]Cluster Details'!$B$3:$C$16,2,0)</f>
        <v>0.11069942689191503</v>
      </c>
      <c r="AB28" s="28">
        <f>PRICE(Table1[[#This Row],[Issue date]],Table1[[#This Row],[Maturity date]],Table1[[#This Row],[Current coupon %]],Table1[[#This Row],[Average Cluster Yield]],100,Table1[[#This Row],[Coupon Frequency2]])*Table1[[#This Row],[Face value]]/100</f>
        <v>971.44468142083849</v>
      </c>
      <c r="AC28" s="27" t="str">
        <f>IF(Table1[[#This Row],[Ask Price]]&gt;Table1[[#This Row],[Calculated Bond Price]],"Rich","Cheap")</f>
        <v>Cheap</v>
      </c>
      <c r="AD28" s="28">
        <f>PRICE(Table1[[#This Row],[Issue date]],Table1[[#This Row],[Maturity date]],Table1[[#This Row],[Current coupon %]],Table1[[#This Row],[Yield (Annualised)]]+$AE$2,100,Table1[[#This Row],[Coupon Frequency2]])*Table1[[#This Row],[Face value]]/100</f>
        <v>903.06925599630335</v>
      </c>
      <c r="AE28" s="28">
        <f>PRICE(Table1[[#This Row],[Issue date]],Table1[[#This Row],[Maturity date]],Table1[[#This Row],[Current coupon %]],Table1[[#This Row],[Yield (Annualised)]]-$AE$2,100,Table1[[#This Row],[Coupon Frequency2]])*Table1[[#This Row],[Face value]]/100</f>
        <v>947.69414848340739</v>
      </c>
      <c r="AF28" s="28">
        <f>(Table1[[#This Row],[P (+ shock)]]+Table1[[#This Row],[P (-shock)]]-2*Table1[[#This Row],[Ask Price]])/(2*Table1[[#This Row],[Ask Price]]*($AE$2^2))</f>
        <v>4.1265107011391544</v>
      </c>
    </row>
    <row r="29" spans="1:32" x14ac:dyDescent="0.25">
      <c r="A29" s="21" t="s">
        <v>164</v>
      </c>
      <c r="B29" s="3" t="s">
        <v>165</v>
      </c>
      <c r="C29" s="3" t="s">
        <v>19</v>
      </c>
      <c r="D29" s="4">
        <v>45674</v>
      </c>
      <c r="E29" s="4">
        <v>47499</v>
      </c>
      <c r="F29" s="3">
        <v>1000</v>
      </c>
      <c r="G29" s="3" t="s">
        <v>20</v>
      </c>
      <c r="H29" s="3">
        <v>982.8</v>
      </c>
      <c r="I29" s="3" t="s">
        <v>20</v>
      </c>
      <c r="J29" s="3">
        <v>98.28</v>
      </c>
      <c r="K29" s="3">
        <v>100</v>
      </c>
      <c r="L29" s="5">
        <v>0.121</v>
      </c>
      <c r="M29" s="3" t="s">
        <v>21</v>
      </c>
      <c r="N29" s="3">
        <v>1582</v>
      </c>
      <c r="O29" s="6">
        <f>Table1[[#This Row],[Current coupon %]]*Table1[[#This Row],[Face value]]/Table1[[#This Row],[Ask Price]]</f>
        <v>0.12311762311762313</v>
      </c>
      <c r="P29" s="3"/>
      <c r="Q29" s="3" t="s">
        <v>22</v>
      </c>
      <c r="R29">
        <f t="shared" si="0"/>
        <v>5</v>
      </c>
      <c r="S29" s="22" cm="1">
        <f t="array" ref="S29">_xlfn.IFS(Table1[[#This Row],[Coupon frequency]]="Semi-annual",2,Table1[[#This Row],[Coupon frequency]]="Quarterly",4,Table1[[#This Row],[Coupon frequency]]="Annual",1,Table1[[#This Row],[Coupon frequency]]="Every 4 months",3,Table1[[#This Row],[Coupon frequency]]="Monthly",12)</f>
        <v>1</v>
      </c>
      <c r="T29">
        <f>Table1[[#This Row],[Term to Maturity (Years)]]*Table1[[#This Row],[Coupon Frequency2]]</f>
        <v>5</v>
      </c>
      <c r="U29">
        <f>Table1[[#This Row],[Face value]]*Table1[[#This Row],[Current coupon %]]/Table1[[#This Row],[Coupon Frequency2]]</f>
        <v>121</v>
      </c>
      <c r="V29" s="23">
        <f>RATE(Table1[[#This Row],[Total No. of Coupons]],Table1[[#This Row],[Coupon Amount]],-Table1[[#This Row],[Ask Price]],Table1[[#This Row],[Face value]])</f>
        <v>0.1258406775982846</v>
      </c>
      <c r="W29" s="24">
        <f>Table1[[#This Row],[IRR]]*Table1[[#This Row],[Coupon Frequency2]]</f>
        <v>0.1258406775982846</v>
      </c>
      <c r="X29" s="25" cm="1">
        <f t="array" ref="X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9" s="26">
        <f>DURATION(Table1[[#This Row],[Issue date]],Table1[[#This Row],[Maturity date]],Table1[[#This Row],[Current coupon %]],Table1[[#This Row],[Yield (Annualised)]],Table1[[#This Row],[Coupon Frequency2]])</f>
        <v>4.0192146748220701</v>
      </c>
      <c r="Z29" s="26">
        <f>Table1[[#This Row],[Macaulay Duration in Years]]/(1+Table1[[#This Row],[IRR]])</f>
        <v>3.5699675405192468</v>
      </c>
      <c r="AA29" s="27">
        <f>VLOOKUP(Table1[[#This Row],[Yield Cluster]],'[1]Cluster Details'!$B$3:$C$16,2,0)</f>
        <v>0.11069942689191503</v>
      </c>
      <c r="AB29" s="28">
        <f>PRICE(Table1[[#This Row],[Issue date]],Table1[[#This Row],[Maturity date]],Table1[[#This Row],[Current coupon %]],Table1[[#This Row],[Average Cluster Yield]],100,Table1[[#This Row],[Coupon Frequency2]])*Table1[[#This Row],[Face value]]/100</f>
        <v>1037.9696254037701</v>
      </c>
      <c r="AC29" s="27" t="str">
        <f>IF(Table1[[#This Row],[Ask Price]]&gt;Table1[[#This Row],[Calculated Bond Price]],"Rich","Cheap")</f>
        <v>Cheap</v>
      </c>
      <c r="AD29" s="28">
        <f>PRICE(Table1[[#This Row],[Issue date]],Table1[[#This Row],[Maturity date]],Table1[[#This Row],[Current coupon %]],Table1[[#This Row],[Yield (Annualised)]]+$AE$2,100,Table1[[#This Row],[Coupon Frequency2]])*Table1[[#This Row],[Face value]]/100</f>
        <v>948.53682412184889</v>
      </c>
      <c r="AE29" s="28">
        <f>PRICE(Table1[[#This Row],[Issue date]],Table1[[#This Row],[Maturity date]],Table1[[#This Row],[Current coupon %]],Table1[[#This Row],[Yield (Annualised)]]-$AE$2,100,Table1[[#This Row],[Coupon Frequency2]])*Table1[[#This Row],[Face value]]/100</f>
        <v>1018.7655691694346</v>
      </c>
      <c r="AF29" s="28">
        <f>(Table1[[#This Row],[P (+ shock)]]+Table1[[#This Row],[P (-shock)]]-2*Table1[[#This Row],[Ask Price]])/(2*Table1[[#This Row],[Ask Price]]*($AE$2^2))</f>
        <v>8.660934530339043</v>
      </c>
    </row>
    <row r="30" spans="1:32" x14ac:dyDescent="0.25">
      <c r="A30" s="21" t="s">
        <v>166</v>
      </c>
      <c r="B30" s="3" t="s">
        <v>167</v>
      </c>
      <c r="C30" s="3" t="s">
        <v>19</v>
      </c>
      <c r="D30" s="4">
        <v>44298</v>
      </c>
      <c r="E30" s="4">
        <v>46063</v>
      </c>
      <c r="F30" s="3">
        <v>500000</v>
      </c>
      <c r="G30" s="3" t="s">
        <v>20</v>
      </c>
      <c r="H30" s="3">
        <v>500000</v>
      </c>
      <c r="I30" s="3" t="s">
        <v>20</v>
      </c>
      <c r="J30" s="3">
        <v>100</v>
      </c>
      <c r="K30" s="3">
        <v>2</v>
      </c>
      <c r="L30" s="5">
        <v>0.1225</v>
      </c>
      <c r="M30" s="3" t="s">
        <v>44</v>
      </c>
      <c r="N30" s="3">
        <v>146</v>
      </c>
      <c r="O30" s="6">
        <f>Table1[[#This Row],[Current coupon %]]*Table1[[#This Row],[Face value]]/Table1[[#This Row],[Ask Price]]</f>
        <v>0.1225</v>
      </c>
      <c r="P30" s="3"/>
      <c r="Q30" s="3" t="s">
        <v>22</v>
      </c>
      <c r="R30">
        <f t="shared" si="0"/>
        <v>5</v>
      </c>
      <c r="S30" s="22" cm="1">
        <f t="array" ref="S30">_xlfn.IFS(Table1[[#This Row],[Coupon frequency]]="Semi-annual",2,Table1[[#This Row],[Coupon frequency]]="Quarterly",4,Table1[[#This Row],[Coupon frequency]]="Annual",1,Table1[[#This Row],[Coupon frequency]]="Every 4 months",3,Table1[[#This Row],[Coupon frequency]]="Monthly",12)</f>
        <v>4</v>
      </c>
      <c r="T30">
        <f>Table1[[#This Row],[Term to Maturity (Years)]]*Table1[[#This Row],[Coupon Frequency2]]</f>
        <v>20</v>
      </c>
      <c r="U30">
        <f>Table1[[#This Row],[Face value]]*Table1[[#This Row],[Current coupon %]]/Table1[[#This Row],[Coupon Frequency2]]</f>
        <v>15312.5</v>
      </c>
      <c r="V30" s="23">
        <f>RATE(Table1[[#This Row],[Total No. of Coupons]],Table1[[#This Row],[Coupon Amount]],-Table1[[#This Row],[Ask Price]],Table1[[#This Row],[Face value]])</f>
        <v>3.0625000000000048E-2</v>
      </c>
      <c r="W30" s="24">
        <f>Table1[[#This Row],[IRR]]*Table1[[#This Row],[Coupon Frequency2]]</f>
        <v>0.12250000000000019</v>
      </c>
      <c r="X30" s="25" cm="1">
        <f t="array" ref="X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0" s="26">
        <f>DURATION(Table1[[#This Row],[Issue date]],Table1[[#This Row],[Maturity date]],Table1[[#This Row],[Current coupon %]],Table1[[#This Row],[Yield (Annualised)]],Table1[[#This Row],[Coupon Frequency2]])</f>
        <v>3.6389952915075439</v>
      </c>
      <c r="Z30" s="26">
        <f>Table1[[#This Row],[Macaulay Duration in Years]]/(1+Table1[[#This Row],[IRR]])</f>
        <v>3.5308626236580167</v>
      </c>
      <c r="AA30" s="27">
        <f>VLOOKUP(Table1[[#This Row],[Yield Cluster]],'[1]Cluster Details'!$B$3:$C$16,2,0)</f>
        <v>0.11069942689191503</v>
      </c>
      <c r="AB30" s="28">
        <f>PRICE(Table1[[#This Row],[Issue date]],Table1[[#This Row],[Maturity date]],Table1[[#This Row],[Current coupon %]],Table1[[#This Row],[Average Cluster Yield]],100,Table1[[#This Row],[Coupon Frequency2]])*Table1[[#This Row],[Face value]]/100</f>
        <v>521793.62327352195</v>
      </c>
      <c r="AC30" s="27" t="str">
        <f>IF(Table1[[#This Row],[Ask Price]]&gt;Table1[[#This Row],[Calculated Bond Price]],"Rich","Cheap")</f>
        <v>Cheap</v>
      </c>
      <c r="AD30" s="28">
        <f>PRICE(Table1[[#This Row],[Issue date]],Table1[[#This Row],[Maturity date]],Table1[[#This Row],[Current coupon %]],Table1[[#This Row],[Yield (Annualised)]]+$AE$2,100,Table1[[#This Row],[Coupon Frequency2]])*Table1[[#This Row],[Face value]]/100</f>
        <v>482322.16105670534</v>
      </c>
      <c r="AE30" s="28">
        <f>PRICE(Table1[[#This Row],[Issue date]],Table1[[#This Row],[Maturity date]],Table1[[#This Row],[Current coupon %]],Table1[[#This Row],[Yield (Annualised)]]-$AE$2,100,Table1[[#This Row],[Coupon Frequency2]])*Table1[[#This Row],[Face value]]/100</f>
        <v>518385.43628298171</v>
      </c>
      <c r="AF30" s="28">
        <f>(Table1[[#This Row],[P (+ shock)]]+Table1[[#This Row],[P (-shock)]]-2*Table1[[#This Row],[Ask Price]])/(2*Table1[[#This Row],[Ask Price]]*($AE$2^2))</f>
        <v>7.0759733968705403</v>
      </c>
    </row>
    <row r="31" spans="1:32" x14ac:dyDescent="0.25">
      <c r="A31" s="21" t="s">
        <v>168</v>
      </c>
      <c r="B31" s="3" t="s">
        <v>169</v>
      </c>
      <c r="C31" s="3" t="s">
        <v>19</v>
      </c>
      <c r="D31" s="4">
        <v>45663</v>
      </c>
      <c r="E31" s="4">
        <v>46758</v>
      </c>
      <c r="F31" s="3">
        <v>1000</v>
      </c>
      <c r="G31" s="3" t="s">
        <v>20</v>
      </c>
      <c r="H31" s="3">
        <v>832</v>
      </c>
      <c r="I31" s="3" t="s">
        <v>20</v>
      </c>
      <c r="J31" s="3">
        <v>83.2</v>
      </c>
      <c r="K31" s="3">
        <v>50</v>
      </c>
      <c r="L31" s="5">
        <v>0.1</v>
      </c>
      <c r="M31" s="3" t="s">
        <v>21</v>
      </c>
      <c r="N31" s="3">
        <v>841</v>
      </c>
      <c r="O31" s="6">
        <f>Table1[[#This Row],[Current coupon %]]*Table1[[#This Row],[Face value]]/Table1[[#This Row],[Ask Price]]</f>
        <v>0.1201923076923077</v>
      </c>
      <c r="P31" s="3"/>
      <c r="Q31" s="3" t="s">
        <v>22</v>
      </c>
      <c r="R31">
        <f t="shared" si="0"/>
        <v>3</v>
      </c>
      <c r="S31" s="22" cm="1">
        <f t="array" ref="S31">_xlfn.IFS(Table1[[#This Row],[Coupon frequency]]="Semi-annual",2,Table1[[#This Row],[Coupon frequency]]="Quarterly",4,Table1[[#This Row],[Coupon frequency]]="Annual",1,Table1[[#This Row],[Coupon frequency]]="Every 4 months",3,Table1[[#This Row],[Coupon frequency]]="Monthly",12)</f>
        <v>1</v>
      </c>
      <c r="T31">
        <f>Table1[[#This Row],[Term to Maturity (Years)]]*Table1[[#This Row],[Coupon Frequency2]]</f>
        <v>3</v>
      </c>
      <c r="U31">
        <f>Table1[[#This Row],[Face value]]*Table1[[#This Row],[Current coupon %]]/Table1[[#This Row],[Coupon Frequency2]]</f>
        <v>100</v>
      </c>
      <c r="V31" s="23">
        <f>RATE(Table1[[#This Row],[Total No. of Coupons]],Table1[[#This Row],[Coupon Amount]],-Table1[[#This Row],[Ask Price]],Table1[[#This Row],[Face value]])</f>
        <v>0.17688151424434537</v>
      </c>
      <c r="W31" s="24">
        <f>Table1[[#This Row],[IRR]]*Table1[[#This Row],[Coupon Frequency2]]</f>
        <v>0.17688151424434537</v>
      </c>
      <c r="X31" s="25" cm="1">
        <f t="array" ref="X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31" s="26">
        <f>DURATION(Table1[[#This Row],[Issue date]],Table1[[#This Row],[Maturity date]],Table1[[#This Row],[Current coupon %]],Table1[[#This Row],[Yield (Annualised)]],Table1[[#This Row],[Coupon Frequency2]])</f>
        <v>2.7089661101332316</v>
      </c>
      <c r="Z31" s="26">
        <f>Table1[[#This Row],[Macaulay Duration in Years]]/(1+Table1[[#This Row],[IRR]])</f>
        <v>2.3018171985415288</v>
      </c>
      <c r="AA31" s="27">
        <f>VLOOKUP(Table1[[#This Row],[Yield Cluster]],'[1]Cluster Details'!$B$3:$C$16,2,0)</f>
        <v>0.1712257899185532</v>
      </c>
      <c r="AB31" s="28">
        <f>PRICE(Table1[[#This Row],[Issue date]],Table1[[#This Row],[Maturity date]],Table1[[#This Row],[Current coupon %]],Table1[[#This Row],[Average Cluster Yield]],100,Table1[[#This Row],[Coupon Frequency2]])*Table1[[#This Row],[Face value]]/100</f>
        <v>842.93261546334656</v>
      </c>
      <c r="AC31" s="27" t="str">
        <f>IF(Table1[[#This Row],[Ask Price]]&gt;Table1[[#This Row],[Calculated Bond Price]],"Rich","Cheap")</f>
        <v>Cheap</v>
      </c>
      <c r="AD31" s="28">
        <f>PRICE(Table1[[#This Row],[Issue date]],Table1[[#This Row],[Maturity date]],Table1[[#This Row],[Current coupon %]],Table1[[#This Row],[Yield (Annualised)]]+$AE$2,100,Table1[[#This Row],[Coupon Frequency2]])*Table1[[#This Row],[Face value]]/100</f>
        <v>813.15867384664818</v>
      </c>
      <c r="AE31" s="28">
        <f>PRICE(Table1[[#This Row],[Issue date]],Table1[[#This Row],[Maturity date]],Table1[[#This Row],[Current coupon %]],Table1[[#This Row],[Yield (Annualised)]]-$AE$2,100,Table1[[#This Row],[Coupon Frequency2]])*Table1[[#This Row],[Face value]]/100</f>
        <v>851.46965185409044</v>
      </c>
      <c r="AF31" s="28">
        <f>(Table1[[#This Row],[P (+ shock)]]+Table1[[#This Row],[P (-shock)]]-2*Table1[[#This Row],[Ask Price]])/(2*Table1[[#This Row],[Ask Price]]*($AE$2^2))</f>
        <v>3.7759957977074188</v>
      </c>
    </row>
    <row r="32" spans="1:32" x14ac:dyDescent="0.25">
      <c r="A32" s="21" t="s">
        <v>170</v>
      </c>
      <c r="B32" s="3" t="s">
        <v>171</v>
      </c>
      <c r="C32" s="3" t="s">
        <v>19</v>
      </c>
      <c r="D32" s="4">
        <v>45653</v>
      </c>
      <c r="E32" s="4">
        <v>49305</v>
      </c>
      <c r="F32" s="3">
        <v>1000</v>
      </c>
      <c r="G32" s="3" t="s">
        <v>20</v>
      </c>
      <c r="H32" s="3">
        <v>760</v>
      </c>
      <c r="I32" s="3" t="s">
        <v>20</v>
      </c>
      <c r="J32" s="3">
        <v>76</v>
      </c>
      <c r="K32" s="3">
        <v>100</v>
      </c>
      <c r="L32" s="5">
        <v>0.1075</v>
      </c>
      <c r="M32" s="3" t="s">
        <v>21</v>
      </c>
      <c r="N32" s="3">
        <v>3388</v>
      </c>
      <c r="O32" s="6">
        <f>Table1[[#This Row],[Current coupon %]]*Table1[[#This Row],[Face value]]/Table1[[#This Row],[Ask Price]]</f>
        <v>0.14144736842105263</v>
      </c>
      <c r="P32" s="3" t="s">
        <v>25</v>
      </c>
      <c r="Q32" s="3" t="s">
        <v>22</v>
      </c>
      <c r="R32">
        <f t="shared" si="0"/>
        <v>10</v>
      </c>
      <c r="S32" s="22" cm="1">
        <f t="array" ref="S32">_xlfn.IFS(Table1[[#This Row],[Coupon frequency]]="Semi-annual",2,Table1[[#This Row],[Coupon frequency]]="Quarterly",4,Table1[[#This Row],[Coupon frequency]]="Annual",1,Table1[[#This Row],[Coupon frequency]]="Every 4 months",3,Table1[[#This Row],[Coupon frequency]]="Monthly",12)</f>
        <v>1</v>
      </c>
      <c r="T32">
        <f>Table1[[#This Row],[Term to Maturity (Years)]]*Table1[[#This Row],[Coupon Frequency2]]</f>
        <v>10</v>
      </c>
      <c r="U32">
        <f>Table1[[#This Row],[Face value]]*Table1[[#This Row],[Current coupon %]]/Table1[[#This Row],[Coupon Frequency2]]</f>
        <v>107.5</v>
      </c>
      <c r="V32" s="23">
        <f>RATE(Table1[[#This Row],[Total No. of Coupons]],Table1[[#This Row],[Coupon Amount]],-Table1[[#This Row],[Ask Price]],Table1[[#This Row],[Face value]])</f>
        <v>0.15651321759329101</v>
      </c>
      <c r="W32" s="24">
        <f>Table1[[#This Row],[IRR]]*Table1[[#This Row],[Coupon Frequency2]]</f>
        <v>0.15651321759329101</v>
      </c>
      <c r="X32" s="25" cm="1">
        <f t="array" ref="X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32" s="26">
        <f>DURATION(Table1[[#This Row],[Issue date]],Table1[[#This Row],[Maturity date]],Table1[[#This Row],[Current coupon %]],Table1[[#This Row],[Yield (Annualised)]],Table1[[#This Row],[Coupon Frequency2]])</f>
        <v>6.0805008416927206</v>
      </c>
      <c r="Z32" s="26">
        <f>Table1[[#This Row],[Macaulay Duration in Years]]/(1+Table1[[#This Row],[IRR]])</f>
        <v>5.257614655149613</v>
      </c>
      <c r="AA32" s="27">
        <f>VLOOKUP(Table1[[#This Row],[Yield Cluster]],'[1]Cluster Details'!$B$3:$C$16,2,0)</f>
        <v>0.1712257899185532</v>
      </c>
      <c r="AB32" s="28">
        <f>PRICE(Table1[[#This Row],[Issue date]],Table1[[#This Row],[Maturity date]],Table1[[#This Row],[Current coupon %]],Table1[[#This Row],[Average Cluster Yield]],100,Table1[[#This Row],[Coupon Frequency2]])*Table1[[#This Row],[Face value]]/100</f>
        <v>704.44556622352309</v>
      </c>
      <c r="AC32" s="27" t="str">
        <f>IF(Table1[[#This Row],[Ask Price]]&gt;Table1[[#This Row],[Calculated Bond Price]],"Rich","Cheap")</f>
        <v>Rich</v>
      </c>
      <c r="AD32" s="28">
        <f>PRICE(Table1[[#This Row],[Issue date]],Table1[[#This Row],[Maturity date]],Table1[[#This Row],[Current coupon %]],Table1[[#This Row],[Yield (Annualised)]]+$AE$2,100,Table1[[#This Row],[Coupon Frequency2]])*Table1[[#This Row],[Face value]]/100</f>
        <v>721.55771573161667</v>
      </c>
      <c r="AE32" s="28">
        <f>PRICE(Table1[[#This Row],[Issue date]],Table1[[#This Row],[Maturity date]],Table1[[#This Row],[Current coupon %]],Table1[[#This Row],[Yield (Annualised)]]-$AE$2,100,Table1[[#This Row],[Coupon Frequency2]])*Table1[[#This Row],[Face value]]/100</f>
        <v>801.57133110955522</v>
      </c>
      <c r="AF32" s="28">
        <f>(Table1[[#This Row],[P (+ shock)]]+Table1[[#This Row],[P (-shock)]]-2*Table1[[#This Row],[Ask Price]])/(2*Table1[[#This Row],[Ask Price]]*($AE$2^2))</f>
        <v>20.585834481393981</v>
      </c>
    </row>
    <row r="33" spans="1:32" x14ac:dyDescent="0.25">
      <c r="A33" s="21" t="s">
        <v>42</v>
      </c>
      <c r="B33" s="3" t="s">
        <v>43</v>
      </c>
      <c r="C33" s="3" t="s">
        <v>19</v>
      </c>
      <c r="D33" s="4">
        <v>45463</v>
      </c>
      <c r="E33" s="4">
        <v>46011</v>
      </c>
      <c r="F33" s="3">
        <v>100000</v>
      </c>
      <c r="G33" s="3" t="s">
        <v>20</v>
      </c>
      <c r="H33" s="3">
        <v>100000</v>
      </c>
      <c r="I33" s="3" t="s">
        <v>20</v>
      </c>
      <c r="J33" s="3">
        <v>100</v>
      </c>
      <c r="K33" s="3">
        <v>150</v>
      </c>
      <c r="L33" s="5">
        <v>0.12</v>
      </c>
      <c r="M33" s="3" t="s">
        <v>44</v>
      </c>
      <c r="N33" s="3">
        <v>94</v>
      </c>
      <c r="O33" s="6">
        <f>Table1[[#This Row],[Current coupon %]]*Table1[[#This Row],[Face value]]/Table1[[#This Row],[Ask Price]]</f>
        <v>0.12</v>
      </c>
      <c r="P33" s="3"/>
      <c r="Q33" s="3" t="s">
        <v>22</v>
      </c>
      <c r="R33">
        <f t="shared" si="0"/>
        <v>2</v>
      </c>
      <c r="S33" s="22" cm="1">
        <f t="array" ref="S33">_xlfn.IFS(Table1[[#This Row],[Coupon frequency]]="Semi-annual",2,Table1[[#This Row],[Coupon frequency]]="Quarterly",4,Table1[[#This Row],[Coupon frequency]]="Annual",1,Table1[[#This Row],[Coupon frequency]]="Every 4 months",3,Table1[[#This Row],[Coupon frequency]]="Monthly",12)</f>
        <v>4</v>
      </c>
      <c r="T33">
        <f>Table1[[#This Row],[Term to Maturity (Years)]]*Table1[[#This Row],[Coupon Frequency2]]</f>
        <v>8</v>
      </c>
      <c r="U33">
        <f>Table1[[#This Row],[Face value]]*Table1[[#This Row],[Current coupon %]]/Table1[[#This Row],[Coupon Frequency2]]</f>
        <v>3000</v>
      </c>
      <c r="V33" s="23">
        <f>RATE(Table1[[#This Row],[Total No. of Coupons]],Table1[[#This Row],[Coupon Amount]],-Table1[[#This Row],[Ask Price]],Table1[[#This Row],[Face value]])</f>
        <v>3.0000000000006206E-2</v>
      </c>
      <c r="W33" s="24">
        <f>Table1[[#This Row],[IRR]]*Table1[[#This Row],[Coupon Frequency2]]</f>
        <v>0.12000000000002482</v>
      </c>
      <c r="X33" s="25" cm="1">
        <f t="array" ref="X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3" s="26">
        <f>DURATION(Table1[[#This Row],[Issue date]],Table1[[#This Row],[Maturity date]],Table1[[#This Row],[Current coupon %]],Table1[[#This Row],[Yield (Annualised)]],Table1[[#This Row],[Coupon Frequency2]])</f>
        <v>1.3949267967986314</v>
      </c>
      <c r="Z33" s="26">
        <f>Table1[[#This Row],[Macaulay Duration in Years]]/(1+Table1[[#This Row],[IRR]])</f>
        <v>1.3542978609695369</v>
      </c>
      <c r="AA33" s="27">
        <f>VLOOKUP(Table1[[#This Row],[Yield Cluster]],'[1]Cluster Details'!$B$3:$C$16,2,0)</f>
        <v>0.11069942689191503</v>
      </c>
      <c r="AB33" s="28">
        <f>PRICE(Table1[[#This Row],[Issue date]],Table1[[#This Row],[Maturity date]],Table1[[#This Row],[Current coupon %]],Table1[[#This Row],[Average Cluster Yield]],100,Table1[[#This Row],[Coupon Frequency2]])*Table1[[#This Row],[Face value]]/100</f>
        <v>101269.33948187895</v>
      </c>
      <c r="AC33" s="27" t="str">
        <f>IF(Table1[[#This Row],[Ask Price]]&gt;Table1[[#This Row],[Calculated Bond Price]],"Rich","Cheap")</f>
        <v>Cheap</v>
      </c>
      <c r="AD33" s="28">
        <f>PRICE(Table1[[#This Row],[Issue date]],Table1[[#This Row],[Maturity date]],Table1[[#This Row],[Current coupon %]],Table1[[#This Row],[Yield (Annualised)]]+$AE$2,100,Table1[[#This Row],[Coupon Frequency2]])*Table1[[#This Row],[Face value]]/100</f>
        <v>98656.852515423656</v>
      </c>
      <c r="AE33" s="28">
        <f>PRICE(Table1[[#This Row],[Issue date]],Table1[[#This Row],[Maturity date]],Table1[[#This Row],[Current coupon %]],Table1[[#This Row],[Yield (Annualised)]]-$AE$2,100,Table1[[#This Row],[Coupon Frequency2]])*Table1[[#This Row],[Face value]]/100</f>
        <v>101365.59169444523</v>
      </c>
      <c r="AF33" s="28">
        <f>(Table1[[#This Row],[P (+ shock)]]+Table1[[#This Row],[P (-shock)]]-2*Table1[[#This Row],[Ask Price]])/(2*Table1[[#This Row],[Ask Price]]*($AE$2^2))</f>
        <v>1.1222104934451635</v>
      </c>
    </row>
    <row r="34" spans="1:32" x14ac:dyDescent="0.25">
      <c r="A34" s="21" t="s">
        <v>172</v>
      </c>
      <c r="B34" s="3" t="s">
        <v>173</v>
      </c>
      <c r="C34" s="3" t="s">
        <v>19</v>
      </c>
      <c r="D34" s="4">
        <v>45560</v>
      </c>
      <c r="E34" s="4">
        <v>49212</v>
      </c>
      <c r="F34" s="3">
        <v>1000</v>
      </c>
      <c r="G34" s="3" t="s">
        <v>20</v>
      </c>
      <c r="H34" s="3">
        <v>900</v>
      </c>
      <c r="I34" s="3" t="s">
        <v>20</v>
      </c>
      <c r="J34" s="3">
        <v>90</v>
      </c>
      <c r="K34" s="3">
        <v>17</v>
      </c>
      <c r="L34" s="5">
        <v>0.1075</v>
      </c>
      <c r="M34" s="3" t="s">
        <v>21</v>
      </c>
      <c r="N34" s="3">
        <v>3295</v>
      </c>
      <c r="O34" s="6">
        <f>Table1[[#This Row],[Current coupon %]]*Table1[[#This Row],[Face value]]/Table1[[#This Row],[Ask Price]]</f>
        <v>0.11944444444444445</v>
      </c>
      <c r="P34" s="3" t="s">
        <v>25</v>
      </c>
      <c r="Q34" s="3" t="s">
        <v>22</v>
      </c>
      <c r="R34">
        <f t="shared" si="0"/>
        <v>10</v>
      </c>
      <c r="S34" s="22" cm="1">
        <f t="array" ref="S34">_xlfn.IFS(Table1[[#This Row],[Coupon frequency]]="Semi-annual",2,Table1[[#This Row],[Coupon frequency]]="Quarterly",4,Table1[[#This Row],[Coupon frequency]]="Annual",1,Table1[[#This Row],[Coupon frequency]]="Every 4 months",3,Table1[[#This Row],[Coupon frequency]]="Monthly",12)</f>
        <v>1</v>
      </c>
      <c r="T34">
        <f>Table1[[#This Row],[Term to Maturity (Years)]]*Table1[[#This Row],[Coupon Frequency2]]</f>
        <v>10</v>
      </c>
      <c r="U34">
        <f>Table1[[#This Row],[Face value]]*Table1[[#This Row],[Current coupon %]]/Table1[[#This Row],[Coupon Frequency2]]</f>
        <v>107.5</v>
      </c>
      <c r="V34" s="23">
        <f>RATE(Table1[[#This Row],[Total No. of Coupons]],Table1[[#This Row],[Coupon Amount]],-Table1[[#This Row],[Ask Price]],Table1[[#This Row],[Face value]])</f>
        <v>0.12560650926723241</v>
      </c>
      <c r="W34" s="24">
        <f>Table1[[#This Row],[IRR]]*Table1[[#This Row],[Coupon Frequency2]]</f>
        <v>0.12560650926723241</v>
      </c>
      <c r="X34" s="25" cm="1">
        <f t="array" ref="X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4" s="26">
        <f>DURATION(Table1[[#This Row],[Issue date]],Table1[[#This Row],[Maturity date]],Table1[[#This Row],[Current coupon %]],Table1[[#This Row],[Yield (Annualised)]],Table1[[#This Row],[Coupon Frequency2]])</f>
        <v>6.4021934440876072</v>
      </c>
      <c r="Z34" s="26">
        <f>Table1[[#This Row],[Macaulay Duration in Years]]/(1+Table1[[#This Row],[IRR]])</f>
        <v>5.6877722289074377</v>
      </c>
      <c r="AA34" s="27">
        <f>VLOOKUP(Table1[[#This Row],[Yield Cluster]],'[1]Cluster Details'!$B$3:$C$16,2,0)</f>
        <v>0.11069942689191503</v>
      </c>
      <c r="AB34" s="28">
        <f>PRICE(Table1[[#This Row],[Issue date]],Table1[[#This Row],[Maturity date]],Table1[[#This Row],[Current coupon %]],Table1[[#This Row],[Average Cluster Yield]],100,Table1[[#This Row],[Coupon Frequency2]])*Table1[[#This Row],[Face value]]/100</f>
        <v>981.21296587210452</v>
      </c>
      <c r="AC34" s="27" t="str">
        <f>IF(Table1[[#This Row],[Ask Price]]&gt;Table1[[#This Row],[Calculated Bond Price]],"Rich","Cheap")</f>
        <v>Cheap</v>
      </c>
      <c r="AD34" s="28">
        <f>PRICE(Table1[[#This Row],[Issue date]],Table1[[#This Row],[Maturity date]],Table1[[#This Row],[Current coupon %]],Table1[[#This Row],[Yield (Annualised)]]+$AE$2,100,Table1[[#This Row],[Coupon Frequency2]])*Table1[[#This Row],[Face value]]/100</f>
        <v>850.84437473062576</v>
      </c>
      <c r="AE34" s="28">
        <f>PRICE(Table1[[#This Row],[Issue date]],Table1[[#This Row],[Maturity date]],Table1[[#This Row],[Current coupon %]],Table1[[#This Row],[Yield (Annualised)]]-$AE$2,100,Table1[[#This Row],[Coupon Frequency2]])*Table1[[#This Row],[Face value]]/100</f>
        <v>953.36076643939202</v>
      </c>
      <c r="AF34" s="28">
        <f>(Table1[[#This Row],[P (+ shock)]]+Table1[[#This Row],[P (-shock)]]-2*Table1[[#This Row],[Ask Price]])/(2*Table1[[#This Row],[Ask Price]]*($AE$2^2))</f>
        <v>23.361895388987044</v>
      </c>
    </row>
    <row r="35" spans="1:32" x14ac:dyDescent="0.25">
      <c r="A35" s="21" t="s">
        <v>174</v>
      </c>
      <c r="B35" s="3" t="s">
        <v>175</v>
      </c>
      <c r="C35" s="3" t="s">
        <v>19</v>
      </c>
      <c r="D35" s="4">
        <v>45644</v>
      </c>
      <c r="E35" s="4">
        <v>46739</v>
      </c>
      <c r="F35" s="3">
        <v>100000</v>
      </c>
      <c r="G35" s="3" t="s">
        <v>20</v>
      </c>
      <c r="H35" s="3">
        <v>100888.03</v>
      </c>
      <c r="I35" s="3" t="s">
        <v>20</v>
      </c>
      <c r="J35" s="3">
        <v>100.88803</v>
      </c>
      <c r="K35" s="3">
        <v>2</v>
      </c>
      <c r="L35" s="5">
        <v>0.12</v>
      </c>
      <c r="M35" s="3" t="s">
        <v>44</v>
      </c>
      <c r="N35" s="3">
        <v>822</v>
      </c>
      <c r="O35" s="6">
        <f>Table1[[#This Row],[Current coupon %]]*Table1[[#This Row],[Face value]]/Table1[[#This Row],[Ask Price]]</f>
        <v>0.1189437438712997</v>
      </c>
      <c r="P35" s="3"/>
      <c r="Q35" s="3" t="s">
        <v>22</v>
      </c>
      <c r="R35">
        <f t="shared" si="0"/>
        <v>3</v>
      </c>
      <c r="S35" s="22" cm="1">
        <f t="array" ref="S35">_xlfn.IFS(Table1[[#This Row],[Coupon frequency]]="Semi-annual",2,Table1[[#This Row],[Coupon frequency]]="Quarterly",4,Table1[[#This Row],[Coupon frequency]]="Annual",1,Table1[[#This Row],[Coupon frequency]]="Every 4 months",3,Table1[[#This Row],[Coupon frequency]]="Monthly",12)</f>
        <v>4</v>
      </c>
      <c r="T35">
        <f>Table1[[#This Row],[Term to Maturity (Years)]]*Table1[[#This Row],[Coupon Frequency2]]</f>
        <v>12</v>
      </c>
      <c r="U35">
        <f>Table1[[#This Row],[Face value]]*Table1[[#This Row],[Current coupon %]]/Table1[[#This Row],[Coupon Frequency2]]</f>
        <v>3000</v>
      </c>
      <c r="V35" s="23">
        <f>RATE(Table1[[#This Row],[Total No. of Coupons]],Table1[[#This Row],[Coupon Amount]],-Table1[[#This Row],[Ask Price]],Table1[[#This Row],[Face value]])</f>
        <v>2.9112585915445969E-2</v>
      </c>
      <c r="W35" s="24">
        <f>Table1[[#This Row],[IRR]]*Table1[[#This Row],[Coupon Frequency2]]</f>
        <v>0.11645034366178388</v>
      </c>
      <c r="X35" s="25" cm="1">
        <f t="array" ref="X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5" s="26">
        <f>DURATION(Table1[[#This Row],[Issue date]],Table1[[#This Row],[Maturity date]],Table1[[#This Row],[Current coupon %]],Table1[[#This Row],[Yield (Annualised)]],Table1[[#This Row],[Coupon Frequency2]])</f>
        <v>2.5654578776901094</v>
      </c>
      <c r="Z35" s="26">
        <f>Table1[[#This Row],[Macaulay Duration in Years]]/(1+Table1[[#This Row],[IRR]])</f>
        <v>2.4928835899990562</v>
      </c>
      <c r="AA35" s="27">
        <f>VLOOKUP(Table1[[#This Row],[Yield Cluster]],'[1]Cluster Details'!$B$3:$C$16,2,0)</f>
        <v>0.11069942689191503</v>
      </c>
      <c r="AB35" s="28">
        <f>PRICE(Table1[[#This Row],[Issue date]],Table1[[#This Row],[Maturity date]],Table1[[#This Row],[Current coupon %]],Table1[[#This Row],[Average Cluster Yield]],100,Table1[[#This Row],[Coupon Frequency2]])*Table1[[#This Row],[Face value]]/100</f>
        <v>102346.9042960521</v>
      </c>
      <c r="AC35" s="27" t="str">
        <f>IF(Table1[[#This Row],[Ask Price]]&gt;Table1[[#This Row],[Calculated Bond Price]],"Rich","Cheap")</f>
        <v>Cheap</v>
      </c>
      <c r="AD35" s="28">
        <f>PRICE(Table1[[#This Row],[Issue date]],Table1[[#This Row],[Maturity date]],Table1[[#This Row],[Current coupon %]],Table1[[#This Row],[Yield (Annualised)]]+$AE$2,100,Table1[[#This Row],[Coupon Frequency2]])*Table1[[#This Row],[Face value]]/100</f>
        <v>98410.173874813874</v>
      </c>
      <c r="AE35" s="28">
        <f>PRICE(Table1[[#This Row],[Issue date]],Table1[[#This Row],[Maturity date]],Table1[[#This Row],[Current coupon %]],Table1[[#This Row],[Yield (Annualised)]]-$AE$2,100,Table1[[#This Row],[Coupon Frequency2]])*Table1[[#This Row],[Face value]]/100</f>
        <v>103441.0446440563</v>
      </c>
      <c r="AF35" s="28">
        <f>(Table1[[#This Row],[P (+ shock)]]+Table1[[#This Row],[P (-shock)]]-2*Table1[[#This Row],[Ask Price]])/(2*Table1[[#This Row],[Ask Price]]*($AE$2^2))</f>
        <v>3.7248481742673794</v>
      </c>
    </row>
    <row r="36" spans="1:32" x14ac:dyDescent="0.25">
      <c r="A36" s="21" t="s">
        <v>176</v>
      </c>
      <c r="B36" s="3" t="s">
        <v>177</v>
      </c>
      <c r="C36" s="3" t="s">
        <v>19</v>
      </c>
      <c r="D36" s="4">
        <v>44285</v>
      </c>
      <c r="E36" s="4">
        <v>46295</v>
      </c>
      <c r="F36" s="3">
        <v>1000000</v>
      </c>
      <c r="G36" s="3" t="s">
        <v>20</v>
      </c>
      <c r="H36" s="3">
        <v>1085500</v>
      </c>
      <c r="I36" s="3" t="s">
        <v>20</v>
      </c>
      <c r="J36" s="3">
        <v>108.55</v>
      </c>
      <c r="K36" s="3">
        <v>1</v>
      </c>
      <c r="L36" s="5">
        <v>0.129</v>
      </c>
      <c r="M36" s="3" t="s">
        <v>21</v>
      </c>
      <c r="N36" s="3">
        <v>378</v>
      </c>
      <c r="O36" s="6">
        <f>Table1[[#This Row],[Current coupon %]]*Table1[[#This Row],[Face value]]/Table1[[#This Row],[Ask Price]]</f>
        <v>0.11883924458774758</v>
      </c>
      <c r="P36" s="3"/>
      <c r="Q36" s="3" t="s">
        <v>22</v>
      </c>
      <c r="R36">
        <f t="shared" si="0"/>
        <v>6</v>
      </c>
      <c r="S36" s="22" cm="1">
        <f t="array" ref="S36">_xlfn.IFS(Table1[[#This Row],[Coupon frequency]]="Semi-annual",2,Table1[[#This Row],[Coupon frequency]]="Quarterly",4,Table1[[#This Row],[Coupon frequency]]="Annual",1,Table1[[#This Row],[Coupon frequency]]="Every 4 months",3,Table1[[#This Row],[Coupon frequency]]="Monthly",12)</f>
        <v>1</v>
      </c>
      <c r="T36">
        <f>Table1[[#This Row],[Term to Maturity (Years)]]*Table1[[#This Row],[Coupon Frequency2]]</f>
        <v>6</v>
      </c>
      <c r="U36">
        <f>Table1[[#This Row],[Face value]]*Table1[[#This Row],[Current coupon %]]/Table1[[#This Row],[Coupon Frequency2]]</f>
        <v>129000</v>
      </c>
      <c r="V36" s="23">
        <f>RATE(Table1[[#This Row],[Total No. of Coupons]],Table1[[#This Row],[Coupon Amount]],-Table1[[#This Row],[Ask Price]],Table1[[#This Row],[Face value]])</f>
        <v>0.10885634353732378</v>
      </c>
      <c r="W36" s="24">
        <f>Table1[[#This Row],[IRR]]*Table1[[#This Row],[Coupon Frequency2]]</f>
        <v>0.10885634353732378</v>
      </c>
      <c r="X36" s="25" cm="1">
        <f t="array" ref="X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6" s="26">
        <f>DURATION(Table1[[#This Row],[Issue date]],Table1[[#This Row],[Maturity date]],Table1[[#This Row],[Current coupon %]],Table1[[#This Row],[Yield (Annualised)]],Table1[[#This Row],[Coupon Frequency2]])</f>
        <v>4.0879363685078003</v>
      </c>
      <c r="Z36" s="26">
        <f>Table1[[#This Row],[Macaulay Duration in Years]]/(1+Table1[[#This Row],[IRR]])</f>
        <v>3.6866239638103324</v>
      </c>
      <c r="AA36" s="27">
        <f>VLOOKUP(Table1[[#This Row],[Yield Cluster]],'[1]Cluster Details'!$B$3:$C$16,2,0)</f>
        <v>0.11069942689191503</v>
      </c>
      <c r="AB36" s="28">
        <f>PRICE(Table1[[#This Row],[Issue date]],Table1[[#This Row],[Maturity date]],Table1[[#This Row],[Current coupon %]],Table1[[#This Row],[Average Cluster Yield]],100,Table1[[#This Row],[Coupon Frequency2]])*Table1[[#This Row],[Face value]]/100</f>
        <v>1070827.1786169526</v>
      </c>
      <c r="AC36" s="27" t="str">
        <f>IF(Table1[[#This Row],[Ask Price]]&gt;Table1[[#This Row],[Calculated Bond Price]],"Rich","Cheap")</f>
        <v>Rich</v>
      </c>
      <c r="AD36" s="28">
        <f>PRICE(Table1[[#This Row],[Issue date]],Table1[[#This Row],[Maturity date]],Table1[[#This Row],[Current coupon %]],Table1[[#This Row],[Yield (Annualised)]]+$AE$2,100,Table1[[#This Row],[Coupon Frequency2]])*Table1[[#This Row],[Face value]]/100</f>
        <v>1037516.8857723292</v>
      </c>
      <c r="AE36" s="28">
        <f>PRICE(Table1[[#This Row],[Issue date]],Table1[[#This Row],[Maturity date]],Table1[[#This Row],[Current coupon %]],Table1[[#This Row],[Yield (Annualised)]]-$AE$2,100,Table1[[#This Row],[Coupon Frequency2]])*Table1[[#This Row],[Face value]]/100</f>
        <v>1121845.6310453888</v>
      </c>
      <c r="AF36" s="28">
        <f>(Table1[[#This Row],[P (+ shock)]]+Table1[[#This Row],[P (-shock)]]-2*Table1[[#This Row],[Ask Price]])/(2*Table1[[#This Row],[Ask Price]]*($AE$2^2))</f>
        <v>-53.604252336629138</v>
      </c>
    </row>
    <row r="37" spans="1:32" x14ac:dyDescent="0.25">
      <c r="A37" s="21" t="s">
        <v>178</v>
      </c>
      <c r="B37" s="3" t="s">
        <v>179</v>
      </c>
      <c r="C37" s="3" t="s">
        <v>19</v>
      </c>
      <c r="D37" s="4">
        <v>45820</v>
      </c>
      <c r="E37" s="4">
        <v>46368</v>
      </c>
      <c r="F37" s="3">
        <v>100000</v>
      </c>
      <c r="G37" s="3" t="s">
        <v>20</v>
      </c>
      <c r="H37" s="3">
        <v>86500</v>
      </c>
      <c r="I37" s="3" t="s">
        <v>20</v>
      </c>
      <c r="J37" s="3">
        <v>86.5</v>
      </c>
      <c r="K37" s="3">
        <v>20</v>
      </c>
      <c r="L37" s="5">
        <v>0.10249999999999999</v>
      </c>
      <c r="M37" s="3" t="s">
        <v>44</v>
      </c>
      <c r="N37" s="3">
        <v>451</v>
      </c>
      <c r="O37" s="6">
        <f>Table1[[#This Row],[Current coupon %]]*Table1[[#This Row],[Face value]]/Table1[[#This Row],[Ask Price]]</f>
        <v>0.11849710982658959</v>
      </c>
      <c r="P37" s="3"/>
      <c r="Q37" s="3" t="s">
        <v>22</v>
      </c>
      <c r="R37">
        <f t="shared" si="0"/>
        <v>2</v>
      </c>
      <c r="S37" s="22" cm="1">
        <f t="array" ref="S37">_xlfn.IFS(Table1[[#This Row],[Coupon frequency]]="Semi-annual",2,Table1[[#This Row],[Coupon frequency]]="Quarterly",4,Table1[[#This Row],[Coupon frequency]]="Annual",1,Table1[[#This Row],[Coupon frequency]]="Every 4 months",3,Table1[[#This Row],[Coupon frequency]]="Monthly",12)</f>
        <v>4</v>
      </c>
      <c r="T37">
        <f>Table1[[#This Row],[Term to Maturity (Years)]]*Table1[[#This Row],[Coupon Frequency2]]</f>
        <v>8</v>
      </c>
      <c r="U37">
        <f>Table1[[#This Row],[Face value]]*Table1[[#This Row],[Current coupon %]]/Table1[[#This Row],[Coupon Frequency2]]</f>
        <v>2562.5</v>
      </c>
      <c r="V37" s="23">
        <f>RATE(Table1[[#This Row],[Total No. of Coupons]],Table1[[#This Row],[Coupon Amount]],-Table1[[#This Row],[Ask Price]],Table1[[#This Row],[Face value]])</f>
        <v>4.6192103313514886E-2</v>
      </c>
      <c r="W37" s="24">
        <f>Table1[[#This Row],[IRR]]*Table1[[#This Row],[Coupon Frequency2]]</f>
        <v>0.18476841325405954</v>
      </c>
      <c r="X37" s="25" cm="1">
        <f t="array" ref="X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37" s="26">
        <f>DURATION(Table1[[#This Row],[Issue date]],Table1[[#This Row],[Maturity date]],Table1[[#This Row],[Current coupon %]],Table1[[#This Row],[Yield (Annualised)]],Table1[[#This Row],[Coupon Frequency2]])</f>
        <v>1.4031452014939825</v>
      </c>
      <c r="Z37" s="26">
        <f>Table1[[#This Row],[Macaulay Duration in Years]]/(1+Table1[[#This Row],[IRR]])</f>
        <v>1.3411926901855984</v>
      </c>
      <c r="AA37" s="27">
        <f>VLOOKUP(Table1[[#This Row],[Yield Cluster]],'[1]Cluster Details'!$B$3:$C$16,2,0)</f>
        <v>0.1712257899185532</v>
      </c>
      <c r="AB37" s="28">
        <f>PRICE(Table1[[#This Row],[Issue date]],Table1[[#This Row],[Maturity date]],Table1[[#This Row],[Current coupon %]],Table1[[#This Row],[Average Cluster Yield]],100,Table1[[#This Row],[Coupon Frequency2]])*Table1[[#This Row],[Face value]]/100</f>
        <v>91074.960303851723</v>
      </c>
      <c r="AC37" s="27" t="str">
        <f>IF(Table1[[#This Row],[Ask Price]]&gt;Table1[[#This Row],[Calculated Bond Price]],"Rich","Cheap")</f>
        <v>Cheap</v>
      </c>
      <c r="AD37" s="28">
        <f>PRICE(Table1[[#This Row],[Issue date]],Table1[[#This Row],[Maturity date]],Table1[[#This Row],[Current coupon %]],Table1[[#This Row],[Yield (Annualised)]]+$AE$2,100,Table1[[#This Row],[Coupon Frequency2]])*Table1[[#This Row],[Face value]]/100</f>
        <v>88242.717740400418</v>
      </c>
      <c r="AE37" s="28">
        <f>PRICE(Table1[[#This Row],[Issue date]],Table1[[#This Row],[Maturity date]],Table1[[#This Row],[Current coupon %]],Table1[[#This Row],[Yield (Annualised)]]-$AE$2,100,Table1[[#This Row],[Coupon Frequency2]])*Table1[[#This Row],[Face value]]/100</f>
        <v>90641.76383629661</v>
      </c>
      <c r="AF37" s="28">
        <f>(Table1[[#This Row],[P (+ shock)]]+Table1[[#This Row],[P (-shock)]]-2*Table1[[#This Row],[Ask Price]])/(2*Table1[[#This Row],[Ask Price]]*($AE$2^2))</f>
        <v>340.14344373971255</v>
      </c>
    </row>
    <row r="38" spans="1:32" x14ac:dyDescent="0.25">
      <c r="A38" s="21" t="s">
        <v>180</v>
      </c>
      <c r="B38" s="3" t="s">
        <v>181</v>
      </c>
      <c r="C38" s="3" t="s">
        <v>19</v>
      </c>
      <c r="D38" s="4">
        <v>44407</v>
      </c>
      <c r="E38" s="4">
        <v>46232</v>
      </c>
      <c r="F38" s="3">
        <v>1000</v>
      </c>
      <c r="G38" s="3" t="s">
        <v>20</v>
      </c>
      <c r="H38" s="3">
        <v>977</v>
      </c>
      <c r="I38" s="3" t="s">
        <v>20</v>
      </c>
      <c r="J38" s="3">
        <v>97.7</v>
      </c>
      <c r="K38" s="3">
        <v>31</v>
      </c>
      <c r="L38" s="5">
        <v>0.115</v>
      </c>
      <c r="M38" s="3" t="s">
        <v>21</v>
      </c>
      <c r="N38" s="3">
        <v>315</v>
      </c>
      <c r="O38" s="6">
        <f>Table1[[#This Row],[Current coupon %]]*Table1[[#This Row],[Face value]]/Table1[[#This Row],[Ask Price]]</f>
        <v>0.11770726714431934</v>
      </c>
      <c r="P38" s="3"/>
      <c r="Q38" s="3" t="s">
        <v>22</v>
      </c>
      <c r="R38">
        <f t="shared" si="0"/>
        <v>5</v>
      </c>
      <c r="S38" s="22" cm="1">
        <f t="array" ref="S38">_xlfn.IFS(Table1[[#This Row],[Coupon frequency]]="Semi-annual",2,Table1[[#This Row],[Coupon frequency]]="Quarterly",4,Table1[[#This Row],[Coupon frequency]]="Annual",1,Table1[[#This Row],[Coupon frequency]]="Every 4 months",3,Table1[[#This Row],[Coupon frequency]]="Monthly",12)</f>
        <v>1</v>
      </c>
      <c r="T38">
        <f>Table1[[#This Row],[Term to Maturity (Years)]]*Table1[[#This Row],[Coupon Frequency2]]</f>
        <v>5</v>
      </c>
      <c r="U38">
        <f>Table1[[#This Row],[Face value]]*Table1[[#This Row],[Current coupon %]]/Table1[[#This Row],[Coupon Frequency2]]</f>
        <v>115</v>
      </c>
      <c r="V38" s="23">
        <f>RATE(Table1[[#This Row],[Total No. of Coupons]],Table1[[#This Row],[Coupon Amount]],-Table1[[#This Row],[Ask Price]],Table1[[#This Row],[Face value]])</f>
        <v>0.12140260871861371</v>
      </c>
      <c r="W38" s="24">
        <f>Table1[[#This Row],[IRR]]*Table1[[#This Row],[Coupon Frequency2]]</f>
        <v>0.12140260871861371</v>
      </c>
      <c r="X38" s="25" cm="1">
        <f t="array" ref="X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8" s="26">
        <f>DURATION(Table1[[#This Row],[Issue date]],Table1[[#This Row],[Maturity date]],Table1[[#This Row],[Current coupon %]],Table1[[#This Row],[Yield (Annualised)]],Table1[[#This Row],[Coupon Frequency2]])</f>
        <v>4.0551951427106463</v>
      </c>
      <c r="Z38" s="26">
        <f>Table1[[#This Row],[Macaulay Duration in Years]]/(1+Table1[[#This Row],[IRR]])</f>
        <v>3.616181299367915</v>
      </c>
      <c r="AA38" s="27">
        <f>VLOOKUP(Table1[[#This Row],[Yield Cluster]],'[1]Cluster Details'!$B$3:$C$16,2,0)</f>
        <v>0.11069942689191503</v>
      </c>
      <c r="AB38" s="28">
        <f>PRICE(Table1[[#This Row],[Issue date]],Table1[[#This Row],[Maturity date]],Table1[[#This Row],[Current coupon %]],Table1[[#This Row],[Average Cluster Yield]],100,Table1[[#This Row],[Coupon Frequency2]])*Table1[[#This Row],[Face value]]/100</f>
        <v>1015.8434142591666</v>
      </c>
      <c r="AC38" s="27" t="str">
        <f>IF(Table1[[#This Row],[Ask Price]]&gt;Table1[[#This Row],[Calculated Bond Price]],"Rich","Cheap")</f>
        <v>Cheap</v>
      </c>
      <c r="AD38" s="28">
        <f>PRICE(Table1[[#This Row],[Issue date]],Table1[[#This Row],[Maturity date]],Table1[[#This Row],[Current coupon %]],Table1[[#This Row],[Yield (Annualised)]]+$AE$2,100,Table1[[#This Row],[Coupon Frequency2]])*Table1[[#This Row],[Face value]]/100</f>
        <v>942.5089560366356</v>
      </c>
      <c r="AE38" s="28">
        <f>PRICE(Table1[[#This Row],[Issue date]],Table1[[#This Row],[Maturity date]],Table1[[#This Row],[Current coupon %]],Table1[[#This Row],[Yield (Annualised)]]-$AE$2,100,Table1[[#This Row],[Coupon Frequency2]])*Table1[[#This Row],[Face value]]/100</f>
        <v>1013.2266925637364</v>
      </c>
      <c r="AF38" s="28">
        <f>(Table1[[#This Row],[P (+ shock)]]+Table1[[#This Row],[P (-shock)]]-2*Table1[[#This Row],[Ask Price]])/(2*Table1[[#This Row],[Ask Price]]*($AE$2^2))</f>
        <v>8.8825414553319337</v>
      </c>
    </row>
    <row r="39" spans="1:32" x14ac:dyDescent="0.25">
      <c r="A39" s="21" t="s">
        <v>182</v>
      </c>
      <c r="B39" s="3" t="s">
        <v>183</v>
      </c>
      <c r="C39" s="3" t="s">
        <v>19</v>
      </c>
      <c r="D39" s="4">
        <v>42094</v>
      </c>
      <c r="E39" s="4">
        <v>47572</v>
      </c>
      <c r="F39" s="3">
        <v>1000000</v>
      </c>
      <c r="G39" s="3" t="s">
        <v>20</v>
      </c>
      <c r="H39" s="3">
        <v>1000000</v>
      </c>
      <c r="I39" s="3" t="s">
        <v>20</v>
      </c>
      <c r="J39" s="3">
        <v>100</v>
      </c>
      <c r="K39" s="3">
        <v>1</v>
      </c>
      <c r="L39" s="5">
        <v>0.11749999999999999</v>
      </c>
      <c r="M39" s="3" t="s">
        <v>21</v>
      </c>
      <c r="N39" s="3">
        <v>1655</v>
      </c>
      <c r="O39" s="6">
        <f>Table1[[#This Row],[Current coupon %]]*Table1[[#This Row],[Face value]]/Table1[[#This Row],[Ask Price]]</f>
        <v>0.11749999999999999</v>
      </c>
      <c r="P39" s="3"/>
      <c r="Q39" s="3" t="s">
        <v>22</v>
      </c>
      <c r="R39">
        <f t="shared" si="0"/>
        <v>15</v>
      </c>
      <c r="S39" s="22" cm="1">
        <f t="array" ref="S39">_xlfn.IFS(Table1[[#This Row],[Coupon frequency]]="Semi-annual",2,Table1[[#This Row],[Coupon frequency]]="Quarterly",4,Table1[[#This Row],[Coupon frequency]]="Annual",1,Table1[[#This Row],[Coupon frequency]]="Every 4 months",3,Table1[[#This Row],[Coupon frequency]]="Monthly",12)</f>
        <v>1</v>
      </c>
      <c r="T39">
        <f>Table1[[#This Row],[Term to Maturity (Years)]]*Table1[[#This Row],[Coupon Frequency2]]</f>
        <v>15</v>
      </c>
      <c r="U39">
        <f>Table1[[#This Row],[Face value]]*Table1[[#This Row],[Current coupon %]]/Table1[[#This Row],[Coupon Frequency2]]</f>
        <v>117500</v>
      </c>
      <c r="V39" s="23">
        <f>RATE(Table1[[#This Row],[Total No. of Coupons]],Table1[[#This Row],[Coupon Amount]],-Table1[[#This Row],[Ask Price]],Table1[[#This Row],[Face value]])</f>
        <v>0.11749999999999999</v>
      </c>
      <c r="W39" s="24">
        <f>Table1[[#This Row],[IRR]]*Table1[[#This Row],[Coupon Frequency2]]</f>
        <v>0.11749999999999999</v>
      </c>
      <c r="X39" s="25" cm="1">
        <f t="array" ref="X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9" s="26">
        <f>DURATION(Table1[[#This Row],[Issue date]],Table1[[#This Row],[Maturity date]],Table1[[#This Row],[Current coupon %]],Table1[[#This Row],[Yield (Annualised)]],Table1[[#This Row],[Coupon Frequency2]])</f>
        <v>7.7138509197772276</v>
      </c>
      <c r="Z39" s="26">
        <f>Table1[[#This Row],[Macaulay Duration in Years]]/(1+Table1[[#This Row],[IRR]])</f>
        <v>6.9027748722838727</v>
      </c>
      <c r="AA39" s="27">
        <f>VLOOKUP(Table1[[#This Row],[Yield Cluster]],'[1]Cluster Details'!$B$3:$C$16,2,0)</f>
        <v>0.11069942689191503</v>
      </c>
      <c r="AB39" s="28">
        <f>PRICE(Table1[[#This Row],[Issue date]],Table1[[#This Row],[Maturity date]],Table1[[#This Row],[Current coupon %]],Table1[[#This Row],[Average Cluster Yield]],100,Table1[[#This Row],[Coupon Frequency2]])*Table1[[#This Row],[Face value]]/100</f>
        <v>1048713.8066495727</v>
      </c>
      <c r="AC39" s="27" t="str">
        <f>IF(Table1[[#This Row],[Ask Price]]&gt;Table1[[#This Row],[Calculated Bond Price]],"Rich","Cheap")</f>
        <v>Cheap</v>
      </c>
      <c r="AD39" s="28">
        <f>PRICE(Table1[[#This Row],[Issue date]],Table1[[#This Row],[Maturity date]],Table1[[#This Row],[Current coupon %]],Table1[[#This Row],[Yield (Annualised)]]+$AE$2,100,Table1[[#This Row],[Coupon Frequency2]])*Table1[[#This Row],[Face value]]/100</f>
        <v>934532.70311141235</v>
      </c>
      <c r="AE39" s="28">
        <f>PRICE(Table1[[#This Row],[Issue date]],Table1[[#This Row],[Maturity date]],Table1[[#This Row],[Current coupon %]],Table1[[#This Row],[Yield (Annualised)]]-$AE$2,100,Table1[[#This Row],[Coupon Frequency2]])*Table1[[#This Row],[Face value]]/100</f>
        <v>1072912.1703159045</v>
      </c>
      <c r="AF39" s="28">
        <f>(Table1[[#This Row],[P (+ shock)]]+Table1[[#This Row],[P (-shock)]]-2*Table1[[#This Row],[Ask Price]])/(2*Table1[[#This Row],[Ask Price]]*($AE$2^2))</f>
        <v>37.224367136585059</v>
      </c>
    </row>
    <row r="40" spans="1:32" x14ac:dyDescent="0.25">
      <c r="A40" s="21" t="s">
        <v>184</v>
      </c>
      <c r="B40" s="3" t="s">
        <v>185</v>
      </c>
      <c r="C40" s="3" t="s">
        <v>19</v>
      </c>
      <c r="D40" s="4">
        <v>44847</v>
      </c>
      <c r="E40" s="4">
        <v>45943</v>
      </c>
      <c r="F40" s="3">
        <v>1000000</v>
      </c>
      <c r="G40" s="3" t="s">
        <v>20</v>
      </c>
      <c r="H40" s="3">
        <v>1027000</v>
      </c>
      <c r="I40" s="3" t="s">
        <v>20</v>
      </c>
      <c r="J40" s="3">
        <v>102.69999999999899</v>
      </c>
      <c r="K40" s="3">
        <v>1</v>
      </c>
      <c r="L40" s="5">
        <v>0.1206</v>
      </c>
      <c r="M40" s="3" t="s">
        <v>21</v>
      </c>
      <c r="N40" s="3">
        <v>26</v>
      </c>
      <c r="O40" s="6">
        <f>Table1[[#This Row],[Current coupon %]]*Table1[[#This Row],[Face value]]/Table1[[#This Row],[Ask Price]]</f>
        <v>0.11742940603700097</v>
      </c>
      <c r="P40" s="3"/>
      <c r="Q40" s="3" t="s">
        <v>22</v>
      </c>
      <c r="R40">
        <f t="shared" si="0"/>
        <v>3</v>
      </c>
      <c r="S40" s="22" cm="1">
        <f t="array" ref="S40">_xlfn.IFS(Table1[[#This Row],[Coupon frequency]]="Semi-annual",2,Table1[[#This Row],[Coupon frequency]]="Quarterly",4,Table1[[#This Row],[Coupon frequency]]="Annual",1,Table1[[#This Row],[Coupon frequency]]="Every 4 months",3,Table1[[#This Row],[Coupon frequency]]="Monthly",12)</f>
        <v>1</v>
      </c>
      <c r="T40">
        <f>Table1[[#This Row],[Term to Maturity (Years)]]*Table1[[#This Row],[Coupon Frequency2]]</f>
        <v>3</v>
      </c>
      <c r="U40">
        <f>Table1[[#This Row],[Face value]]*Table1[[#This Row],[Current coupon %]]/Table1[[#This Row],[Coupon Frequency2]]</f>
        <v>120600</v>
      </c>
      <c r="V40" s="23">
        <f>RATE(Table1[[#This Row],[Total No. of Coupons]],Table1[[#This Row],[Coupon Amount]],-Table1[[#This Row],[Ask Price]],Table1[[#This Row],[Face value]])</f>
        <v>0.10955970697953493</v>
      </c>
      <c r="W40" s="24">
        <f>Table1[[#This Row],[IRR]]*Table1[[#This Row],[Coupon Frequency2]]</f>
        <v>0.10955970697953493</v>
      </c>
      <c r="X40" s="25" cm="1">
        <f t="array" ref="X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0" s="26">
        <f>DURATION(Table1[[#This Row],[Issue date]],Table1[[#This Row],[Maturity date]],Table1[[#This Row],[Current coupon %]],Table1[[#This Row],[Yield (Annualised)]],Table1[[#This Row],[Coupon Frequency2]])</f>
        <v>2.6929475287622453</v>
      </c>
      <c r="Z40" s="26">
        <f>Table1[[#This Row],[Macaulay Duration in Years]]/(1+Table1[[#This Row],[IRR]])</f>
        <v>2.4270415659676754</v>
      </c>
      <c r="AA40" s="27">
        <f>VLOOKUP(Table1[[#This Row],[Yield Cluster]],'[1]Cluster Details'!$B$3:$C$16,2,0)</f>
        <v>0.11069942689191503</v>
      </c>
      <c r="AB40" s="28">
        <f>PRICE(Table1[[#This Row],[Issue date]],Table1[[#This Row],[Maturity date]],Table1[[#This Row],[Current coupon %]],Table1[[#This Row],[Average Cluster Yield]],100,Table1[[#This Row],[Coupon Frequency2]])*Table1[[#This Row],[Face value]]/100</f>
        <v>1024164.7750637271</v>
      </c>
      <c r="AC40" s="27" t="str">
        <f>IF(Table1[[#This Row],[Ask Price]]&gt;Table1[[#This Row],[Calculated Bond Price]],"Rich","Cheap")</f>
        <v>Rich</v>
      </c>
      <c r="AD40" s="28">
        <f>PRICE(Table1[[#This Row],[Issue date]],Table1[[#This Row],[Maturity date]],Table1[[#This Row],[Current coupon %]],Table1[[#This Row],[Yield (Annualised)]]+$AE$2,100,Table1[[#This Row],[Coupon Frequency2]])*Table1[[#This Row],[Face value]]/100</f>
        <v>1002500.4999666703</v>
      </c>
      <c r="AE40" s="28">
        <f>PRICE(Table1[[#This Row],[Issue date]],Table1[[#This Row],[Maturity date]],Table1[[#This Row],[Current coupon %]],Table1[[#This Row],[Yield (Annualised)]]-$AE$2,100,Table1[[#This Row],[Coupon Frequency2]])*Table1[[#This Row],[Face value]]/100</f>
        <v>1052364.6796281964</v>
      </c>
      <c r="AF40" s="28">
        <f>(Table1[[#This Row],[P (+ shock)]]+Table1[[#This Row],[P (-shock)]]-2*Table1[[#This Row],[Ask Price]])/(2*Table1[[#This Row],[Ask Price]]*($AE$2^2))</f>
        <v>4.2121694005194676</v>
      </c>
    </row>
    <row r="41" spans="1:32" x14ac:dyDescent="0.25">
      <c r="A41" s="21" t="s">
        <v>45</v>
      </c>
      <c r="B41" s="3" t="s">
        <v>46</v>
      </c>
      <c r="C41" s="3" t="s">
        <v>19</v>
      </c>
      <c r="D41" s="4">
        <v>45870</v>
      </c>
      <c r="E41" s="4">
        <v>46600</v>
      </c>
      <c r="F41" s="3">
        <v>1000</v>
      </c>
      <c r="G41" s="3" t="s">
        <v>20</v>
      </c>
      <c r="H41" s="3">
        <v>951.2</v>
      </c>
      <c r="I41" s="3" t="s">
        <v>20</v>
      </c>
      <c r="J41" s="3">
        <v>95.12</v>
      </c>
      <c r="K41" s="3">
        <v>110</v>
      </c>
      <c r="L41" s="5">
        <v>0.09</v>
      </c>
      <c r="M41" s="3" t="s">
        <v>21</v>
      </c>
      <c r="N41" s="3">
        <v>683</v>
      </c>
      <c r="O41" s="6">
        <f>Table1[[#This Row],[Current coupon %]]*Table1[[#This Row],[Face value]]/Table1[[#This Row],[Ask Price]]</f>
        <v>9.4617325483599662E-2</v>
      </c>
      <c r="P41" s="3" t="s">
        <v>25</v>
      </c>
      <c r="Q41" s="3" t="s">
        <v>22</v>
      </c>
      <c r="R41">
        <f t="shared" si="0"/>
        <v>2</v>
      </c>
      <c r="S41" s="22" cm="1">
        <f t="array" ref="S41">_xlfn.IFS(Table1[[#This Row],[Coupon frequency]]="Semi-annual",2,Table1[[#This Row],[Coupon frequency]]="Quarterly",4,Table1[[#This Row],[Coupon frequency]]="Annual",1,Table1[[#This Row],[Coupon frequency]]="Every 4 months",3,Table1[[#This Row],[Coupon frequency]]="Monthly",12)</f>
        <v>1</v>
      </c>
      <c r="T41">
        <f>Table1[[#This Row],[Term to Maturity (Years)]]*Table1[[#This Row],[Coupon Frequency2]]</f>
        <v>2</v>
      </c>
      <c r="U41">
        <f>Table1[[#This Row],[Face value]]*Table1[[#This Row],[Current coupon %]]/Table1[[#This Row],[Coupon Frequency2]]</f>
        <v>90</v>
      </c>
      <c r="V41" s="23">
        <f>RATE(Table1[[#This Row],[Total No. of Coupons]],Table1[[#This Row],[Coupon Amount]],-Table1[[#This Row],[Ask Price]],Table1[[#This Row],[Face value]])</f>
        <v>0.11883050178123716</v>
      </c>
      <c r="W41" s="24">
        <f>Table1[[#This Row],[IRR]]*Table1[[#This Row],[Coupon Frequency2]]</f>
        <v>0.11883050178123716</v>
      </c>
      <c r="X41" s="25" cm="1">
        <f t="array" ref="X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1" s="26">
        <f>DURATION(Table1[[#This Row],[Issue date]],Table1[[#This Row],[Maturity date]],Table1[[#This Row],[Current coupon %]],Table1[[#This Row],[Yield (Annualised)]],Table1[[#This Row],[Coupon Frequency2]])</f>
        <v>1.9154319395717545</v>
      </c>
      <c r="Z41" s="26">
        <f>Table1[[#This Row],[Macaulay Duration in Years]]/(1+Table1[[#This Row],[IRR]])</f>
        <v>1.7119947449790525</v>
      </c>
      <c r="AA41" s="27">
        <f>VLOOKUP(Table1[[#This Row],[Yield Cluster]],'[1]Cluster Details'!$B$3:$C$16,2,0)</f>
        <v>0.11069942689191503</v>
      </c>
      <c r="AB41" s="28">
        <f>PRICE(Table1[[#This Row],[Issue date]],Table1[[#This Row],[Maturity date]],Table1[[#This Row],[Current coupon %]],Table1[[#This Row],[Average Cluster Yield]],100,Table1[[#This Row],[Coupon Frequency2]])*Table1[[#This Row],[Face value]]/100</f>
        <v>964.58464349680571</v>
      </c>
      <c r="AC41" s="27" t="str">
        <f>IF(Table1[[#This Row],[Ask Price]]&gt;Table1[[#This Row],[Calculated Bond Price]],"Rich","Cheap")</f>
        <v>Cheap</v>
      </c>
      <c r="AD41" s="28">
        <f>PRICE(Table1[[#This Row],[Issue date]],Table1[[#This Row],[Maturity date]],Table1[[#This Row],[Current coupon %]],Table1[[#This Row],[Yield (Annualised)]]+$AE$2,100,Table1[[#This Row],[Coupon Frequency2]])*Table1[[#This Row],[Face value]]/100</f>
        <v>935.12810041909586</v>
      </c>
      <c r="AE41" s="28">
        <f>PRICE(Table1[[#This Row],[Issue date]],Table1[[#This Row],[Maturity date]],Table1[[#This Row],[Current coupon %]],Table1[[#This Row],[Yield (Annualised)]]-$AE$2,100,Table1[[#This Row],[Coupon Frequency2]])*Table1[[#This Row],[Face value]]/100</f>
        <v>967.70217780162022</v>
      </c>
      <c r="AF41" s="28">
        <f>(Table1[[#This Row],[P (+ shock)]]+Table1[[#This Row],[P (-shock)]]-2*Table1[[#This Row],[Ask Price]])/(2*Table1[[#This Row],[Ask Price]]*($AE$2^2))</f>
        <v>2.261765247666057</v>
      </c>
    </row>
    <row r="42" spans="1:32" x14ac:dyDescent="0.25">
      <c r="A42" s="21" t="s">
        <v>186</v>
      </c>
      <c r="B42" s="3" t="s">
        <v>187</v>
      </c>
      <c r="C42" s="3" t="s">
        <v>19</v>
      </c>
      <c r="D42" s="4">
        <v>45195</v>
      </c>
      <c r="E42" s="4">
        <v>47752</v>
      </c>
      <c r="F42" s="3">
        <v>1000</v>
      </c>
      <c r="G42" s="3" t="s">
        <v>20</v>
      </c>
      <c r="H42" s="3">
        <v>901.19</v>
      </c>
      <c r="I42" s="3" t="s">
        <v>20</v>
      </c>
      <c r="J42" s="3">
        <v>90.119</v>
      </c>
      <c r="K42" s="3">
        <v>125</v>
      </c>
      <c r="L42" s="5">
        <v>0.105</v>
      </c>
      <c r="M42" s="3" t="s">
        <v>21</v>
      </c>
      <c r="N42" s="3">
        <v>1835</v>
      </c>
      <c r="O42" s="6">
        <f>Table1[[#This Row],[Current coupon %]]*Table1[[#This Row],[Face value]]/Table1[[#This Row],[Ask Price]]</f>
        <v>0.11651261110309701</v>
      </c>
      <c r="P42" s="3" t="s">
        <v>25</v>
      </c>
      <c r="Q42" s="3" t="s">
        <v>22</v>
      </c>
      <c r="R42">
        <f t="shared" si="0"/>
        <v>7</v>
      </c>
      <c r="S42" s="22" cm="1">
        <f t="array" ref="S42">_xlfn.IFS(Table1[[#This Row],[Coupon frequency]]="Semi-annual",2,Table1[[#This Row],[Coupon frequency]]="Quarterly",4,Table1[[#This Row],[Coupon frequency]]="Annual",1,Table1[[#This Row],[Coupon frequency]]="Every 4 months",3,Table1[[#This Row],[Coupon frequency]]="Monthly",12)</f>
        <v>1</v>
      </c>
      <c r="T42">
        <f>Table1[[#This Row],[Term to Maturity (Years)]]*Table1[[#This Row],[Coupon Frequency2]]</f>
        <v>7</v>
      </c>
      <c r="U42">
        <f>Table1[[#This Row],[Face value]]*Table1[[#This Row],[Current coupon %]]/Table1[[#This Row],[Coupon Frequency2]]</f>
        <v>105</v>
      </c>
      <c r="V42" s="23">
        <f>RATE(Table1[[#This Row],[Total No. of Coupons]],Table1[[#This Row],[Coupon Amount]],-Table1[[#This Row],[Ask Price]],Table1[[#This Row],[Face value]])</f>
        <v>0.12714374427246769</v>
      </c>
      <c r="W42" s="24">
        <f>Table1[[#This Row],[IRR]]*Table1[[#This Row],[Coupon Frequency2]]</f>
        <v>0.12714374427246769</v>
      </c>
      <c r="X42" s="25" cm="1">
        <f t="array" ref="X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2" s="26">
        <f>DURATION(Table1[[#This Row],[Issue date]],Table1[[#This Row],[Maturity date]],Table1[[#This Row],[Current coupon %]],Table1[[#This Row],[Yield (Annualised)]],Table1[[#This Row],[Coupon Frequency2]])</f>
        <v>5.1943094967847641</v>
      </c>
      <c r="Z42" s="26">
        <f>Table1[[#This Row],[Macaulay Duration in Years]]/(1+Table1[[#This Row],[IRR]])</f>
        <v>4.6083824917446634</v>
      </c>
      <c r="AA42" s="27">
        <f>VLOOKUP(Table1[[#This Row],[Yield Cluster]],'[1]Cluster Details'!$B$3:$C$16,2,0)</f>
        <v>0.11069942689191503</v>
      </c>
      <c r="AB42" s="28">
        <f>PRICE(Table1[[#This Row],[Issue date]],Table1[[#This Row],[Maturity date]],Table1[[#This Row],[Current coupon %]],Table1[[#This Row],[Average Cluster Yield]],100,Table1[[#This Row],[Coupon Frequency2]])*Table1[[#This Row],[Face value]]/100</f>
        <v>973.20376409209189</v>
      </c>
      <c r="AC42" s="27" t="str">
        <f>IF(Table1[[#This Row],[Ask Price]]&gt;Table1[[#This Row],[Calculated Bond Price]],"Rich","Cheap")</f>
        <v>Cheap</v>
      </c>
      <c r="AD42" s="28">
        <f>PRICE(Table1[[#This Row],[Issue date]],Table1[[#This Row],[Maturity date]],Table1[[#This Row],[Current coupon %]],Table1[[#This Row],[Yield (Annualised)]]+$AE$2,100,Table1[[#This Row],[Coupon Frequency2]])*Table1[[#This Row],[Face value]]/100</f>
        <v>860.94638250306252</v>
      </c>
      <c r="AE42" s="28">
        <f>PRICE(Table1[[#This Row],[Issue date]],Table1[[#This Row],[Maturity date]],Table1[[#This Row],[Current coupon %]],Table1[[#This Row],[Yield (Annualised)]]-$AE$2,100,Table1[[#This Row],[Coupon Frequency2]])*Table1[[#This Row],[Face value]]/100</f>
        <v>944.07332244444262</v>
      </c>
      <c r="AF42" s="28">
        <f>(Table1[[#This Row],[P (+ shock)]]+Table1[[#This Row],[P (-shock)]]-2*Table1[[#This Row],[Ask Price]])/(2*Table1[[#This Row],[Ask Price]]*($AE$2^2))</f>
        <v>14.64566266550297</v>
      </c>
    </row>
    <row r="43" spans="1:32" x14ac:dyDescent="0.25">
      <c r="A43" s="21" t="s">
        <v>188</v>
      </c>
      <c r="B43" s="3" t="s">
        <v>189</v>
      </c>
      <c r="C43" s="3" t="s">
        <v>19</v>
      </c>
      <c r="D43" s="4">
        <v>44245</v>
      </c>
      <c r="E43" s="4">
        <v>47896</v>
      </c>
      <c r="F43" s="3">
        <v>1000000</v>
      </c>
      <c r="G43" s="3" t="s">
        <v>20</v>
      </c>
      <c r="H43" s="3">
        <v>950000</v>
      </c>
      <c r="I43" s="3" t="s">
        <v>20</v>
      </c>
      <c r="J43" s="3">
        <v>95</v>
      </c>
      <c r="K43" s="3">
        <v>1</v>
      </c>
      <c r="L43" s="5">
        <v>0.1096</v>
      </c>
      <c r="M43" s="3" t="s">
        <v>44</v>
      </c>
      <c r="N43" s="3">
        <v>1979</v>
      </c>
      <c r="O43" s="6">
        <f>Table1[[#This Row],[Current coupon %]]*Table1[[#This Row],[Face value]]/Table1[[#This Row],[Ask Price]]</f>
        <v>0.11536842105263158</v>
      </c>
      <c r="P43" s="3"/>
      <c r="Q43" s="3" t="s">
        <v>22</v>
      </c>
      <c r="R43">
        <f t="shared" si="0"/>
        <v>10</v>
      </c>
      <c r="S43" s="22" cm="1">
        <f t="array" ref="S43">_xlfn.IFS(Table1[[#This Row],[Coupon frequency]]="Semi-annual",2,Table1[[#This Row],[Coupon frequency]]="Quarterly",4,Table1[[#This Row],[Coupon frequency]]="Annual",1,Table1[[#This Row],[Coupon frequency]]="Every 4 months",3,Table1[[#This Row],[Coupon frequency]]="Monthly",12)</f>
        <v>4</v>
      </c>
      <c r="T43">
        <f>Table1[[#This Row],[Term to Maturity (Years)]]*Table1[[#This Row],[Coupon Frequency2]]</f>
        <v>40</v>
      </c>
      <c r="U43">
        <f>Table1[[#This Row],[Face value]]*Table1[[#This Row],[Current coupon %]]/Table1[[#This Row],[Coupon Frequency2]]</f>
        <v>27400</v>
      </c>
      <c r="V43" s="23">
        <f>RATE(Table1[[#This Row],[Total No. of Coupons]],Table1[[#This Row],[Coupon Amount]],-Table1[[#This Row],[Ask Price]],Table1[[#This Row],[Face value]])</f>
        <v>2.9547318344428003E-2</v>
      </c>
      <c r="W43" s="24">
        <f>Table1[[#This Row],[IRR]]*Table1[[#This Row],[Coupon Frequency2]]</f>
        <v>0.11818927337771201</v>
      </c>
      <c r="X43" s="25" cm="1">
        <f t="array" ref="X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3" s="26">
        <f>DURATION(Table1[[#This Row],[Issue date]],Table1[[#This Row],[Maturity date]],Table1[[#This Row],[Current coupon %]],Table1[[#This Row],[Yield (Annualised)]],Table1[[#This Row],[Coupon Frequency2]])</f>
        <v>6.0860685807366863</v>
      </c>
      <c r="Z43" s="26">
        <f>Table1[[#This Row],[Macaulay Duration in Years]]/(1+Table1[[#This Row],[IRR]])</f>
        <v>5.9114024895168873</v>
      </c>
      <c r="AA43" s="27">
        <f>VLOOKUP(Table1[[#This Row],[Yield Cluster]],'[1]Cluster Details'!$B$3:$C$16,2,0)</f>
        <v>0.11069942689191503</v>
      </c>
      <c r="AB43" s="28">
        <f>PRICE(Table1[[#This Row],[Issue date]],Table1[[#This Row],[Maturity date]],Table1[[#This Row],[Current coupon %]],Table1[[#This Row],[Average Cluster Yield]],100,Table1[[#This Row],[Coupon Frequency2]])*Table1[[#This Row],[Face value]]/100</f>
        <v>993397.94525578839</v>
      </c>
      <c r="AC43" s="27" t="str">
        <f>IF(Table1[[#This Row],[Ask Price]]&gt;Table1[[#This Row],[Calculated Bond Price]],"Rich","Cheap")</f>
        <v>Cheap</v>
      </c>
      <c r="AD43" s="28">
        <f>PRICE(Table1[[#This Row],[Issue date]],Table1[[#This Row],[Maturity date]],Table1[[#This Row],[Current coupon %]],Table1[[#This Row],[Yield (Annualised)]]+$AE$2,100,Table1[[#This Row],[Coupon Frequency2]])*Table1[[#This Row],[Face value]]/100</f>
        <v>896056.10328000085</v>
      </c>
      <c r="AE43" s="28">
        <f>PRICE(Table1[[#This Row],[Issue date]],Table1[[#This Row],[Maturity date]],Table1[[#This Row],[Current coupon %]],Table1[[#This Row],[Yield (Annualised)]]-$AE$2,100,Table1[[#This Row],[Coupon Frequency2]])*Table1[[#This Row],[Face value]]/100</f>
        <v>1008550.3606360077</v>
      </c>
      <c r="AF43" s="28">
        <f>(Table1[[#This Row],[P (+ shock)]]+Table1[[#This Row],[P (-shock)]]-2*Table1[[#This Row],[Ask Price]])/(2*Table1[[#This Row],[Ask Price]]*($AE$2^2))</f>
        <v>24.244546926361018</v>
      </c>
    </row>
    <row r="44" spans="1:32" x14ac:dyDescent="0.25">
      <c r="A44" s="21" t="s">
        <v>190</v>
      </c>
      <c r="B44" s="3" t="s">
        <v>191</v>
      </c>
      <c r="C44" s="3" t="s">
        <v>19</v>
      </c>
      <c r="D44" s="4">
        <v>45377</v>
      </c>
      <c r="E44" s="4">
        <v>47933</v>
      </c>
      <c r="F44" s="3">
        <v>1000</v>
      </c>
      <c r="G44" s="3" t="s">
        <v>20</v>
      </c>
      <c r="H44" s="3">
        <v>911</v>
      </c>
      <c r="I44" s="3" t="s">
        <v>20</v>
      </c>
      <c r="J44" s="3">
        <v>91.1</v>
      </c>
      <c r="K44" s="3">
        <v>2</v>
      </c>
      <c r="L44" s="5">
        <v>0.105</v>
      </c>
      <c r="M44" s="3" t="s">
        <v>21</v>
      </c>
      <c r="N44" s="3">
        <v>2016</v>
      </c>
      <c r="O44" s="6">
        <f>Table1[[#This Row],[Current coupon %]]*Table1[[#This Row],[Face value]]/Table1[[#This Row],[Ask Price]]</f>
        <v>0.11525795828759605</v>
      </c>
      <c r="P44" s="3" t="s">
        <v>25</v>
      </c>
      <c r="Q44" s="3" t="s">
        <v>22</v>
      </c>
      <c r="R44">
        <f t="shared" si="0"/>
        <v>7</v>
      </c>
      <c r="S44" s="22" cm="1">
        <f t="array" ref="S44">_xlfn.IFS(Table1[[#This Row],[Coupon frequency]]="Semi-annual",2,Table1[[#This Row],[Coupon frequency]]="Quarterly",4,Table1[[#This Row],[Coupon frequency]]="Annual",1,Table1[[#This Row],[Coupon frequency]]="Every 4 months",3,Table1[[#This Row],[Coupon frequency]]="Monthly",12)</f>
        <v>1</v>
      </c>
      <c r="T44">
        <f>Table1[[#This Row],[Term to Maturity (Years)]]*Table1[[#This Row],[Coupon Frequency2]]</f>
        <v>7</v>
      </c>
      <c r="U44">
        <f>Table1[[#This Row],[Face value]]*Table1[[#This Row],[Current coupon %]]/Table1[[#This Row],[Coupon Frequency2]]</f>
        <v>105</v>
      </c>
      <c r="V44" s="23">
        <f>RATE(Table1[[#This Row],[Total No. of Coupons]],Table1[[#This Row],[Coupon Amount]],-Table1[[#This Row],[Ask Price]],Table1[[#This Row],[Face value]])</f>
        <v>0.12479917626064729</v>
      </c>
      <c r="W44" s="24">
        <f>Table1[[#This Row],[IRR]]*Table1[[#This Row],[Coupon Frequency2]]</f>
        <v>0.12479917626064729</v>
      </c>
      <c r="X44" s="25" cm="1">
        <f t="array" ref="X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4" s="26">
        <f>DURATION(Table1[[#This Row],[Issue date]],Table1[[#This Row],[Maturity date]],Table1[[#This Row],[Current coupon %]],Table1[[#This Row],[Yield (Annualised)]],Table1[[#This Row],[Coupon Frequency2]])</f>
        <v>5.2047400179235623</v>
      </c>
      <c r="Z44" s="26">
        <f>Table1[[#This Row],[Macaulay Duration in Years]]/(1+Table1[[#This Row],[IRR]])</f>
        <v>4.6272615839091609</v>
      </c>
      <c r="AA44" s="27">
        <f>VLOOKUP(Table1[[#This Row],[Yield Cluster]],'[1]Cluster Details'!$B$3:$C$16,2,0)</f>
        <v>0.11069942689191503</v>
      </c>
      <c r="AB44" s="28">
        <f>PRICE(Table1[[#This Row],[Issue date]],Table1[[#This Row],[Maturity date]],Table1[[#This Row],[Current coupon %]],Table1[[#This Row],[Average Cluster Yield]],100,Table1[[#This Row],[Coupon Frequency2]])*Table1[[#This Row],[Face value]]/100</f>
        <v>973.20376409209189</v>
      </c>
      <c r="AC44" s="27" t="str">
        <f>IF(Table1[[#This Row],[Ask Price]]&gt;Table1[[#This Row],[Calculated Bond Price]],"Rich","Cheap")</f>
        <v>Cheap</v>
      </c>
      <c r="AD44" s="28">
        <f>PRICE(Table1[[#This Row],[Issue date]],Table1[[#This Row],[Maturity date]],Table1[[#This Row],[Current coupon %]],Table1[[#This Row],[Yield (Annualised)]]+$AE$2,100,Table1[[#This Row],[Coupon Frequency2]])*Table1[[#This Row],[Face value]]/100</f>
        <v>870.15522308003051</v>
      </c>
      <c r="AE44" s="28">
        <f>PRICE(Table1[[#This Row],[Issue date]],Table1[[#This Row],[Maturity date]],Table1[[#This Row],[Current coupon %]],Table1[[#This Row],[Yield (Annualised)]]-$AE$2,100,Table1[[#This Row],[Coupon Frequency2]])*Table1[[#This Row],[Face value]]/100</f>
        <v>954.53165419732238</v>
      </c>
      <c r="AF44" s="28">
        <f>(Table1[[#This Row],[P (+ shock)]]+Table1[[#This Row],[P (-shock)]]-2*Table1[[#This Row],[Ask Price]])/(2*Table1[[#This Row],[Ask Price]]*($AE$2^2))</f>
        <v>14.746856626524577</v>
      </c>
    </row>
    <row r="45" spans="1:32" x14ac:dyDescent="0.25">
      <c r="A45" s="21" t="s">
        <v>49</v>
      </c>
      <c r="B45" s="3" t="s">
        <v>50</v>
      </c>
      <c r="C45" s="3" t="s">
        <v>19</v>
      </c>
      <c r="D45" s="4">
        <v>45866</v>
      </c>
      <c r="E45" s="4">
        <v>46595</v>
      </c>
      <c r="F45" s="3">
        <v>1000</v>
      </c>
      <c r="G45" s="3" t="s">
        <v>20</v>
      </c>
      <c r="H45" s="3">
        <v>979.8</v>
      </c>
      <c r="I45" s="3" t="s">
        <v>20</v>
      </c>
      <c r="J45" s="3">
        <v>97.98</v>
      </c>
      <c r="K45" s="3">
        <v>40</v>
      </c>
      <c r="L45" s="5">
        <v>0.10249999999999999</v>
      </c>
      <c r="M45" s="3" t="s">
        <v>21</v>
      </c>
      <c r="N45" s="3">
        <v>678</v>
      </c>
      <c r="O45" s="6">
        <f>Table1[[#This Row],[Current coupon %]]*Table1[[#This Row],[Face value]]/Table1[[#This Row],[Ask Price]]</f>
        <v>0.1046131863645642</v>
      </c>
      <c r="P45" s="3"/>
      <c r="Q45" s="3" t="s">
        <v>22</v>
      </c>
      <c r="R45">
        <f t="shared" si="0"/>
        <v>2</v>
      </c>
      <c r="S45" s="22" cm="1">
        <f t="array" ref="S45">_xlfn.IFS(Table1[[#This Row],[Coupon frequency]]="Semi-annual",2,Table1[[#This Row],[Coupon frequency]]="Quarterly",4,Table1[[#This Row],[Coupon frequency]]="Annual",1,Table1[[#This Row],[Coupon frequency]]="Every 4 months",3,Table1[[#This Row],[Coupon frequency]]="Monthly",12)</f>
        <v>1</v>
      </c>
      <c r="T45">
        <f>Table1[[#This Row],[Term to Maturity (Years)]]*Table1[[#This Row],[Coupon Frequency2]]</f>
        <v>2</v>
      </c>
      <c r="U45">
        <f>Table1[[#This Row],[Face value]]*Table1[[#This Row],[Current coupon %]]/Table1[[#This Row],[Coupon Frequency2]]</f>
        <v>102.5</v>
      </c>
      <c r="V45" s="23">
        <f>RATE(Table1[[#This Row],[Total No. of Coupons]],Table1[[#This Row],[Coupon Amount]],-Table1[[#This Row],[Ask Price]],Table1[[#This Row],[Face value]])</f>
        <v>0.11436385076876114</v>
      </c>
      <c r="W45" s="24">
        <f>Table1[[#This Row],[IRR]]*Table1[[#This Row],[Coupon Frequency2]]</f>
        <v>0.11436385076876114</v>
      </c>
      <c r="X45" s="25" cm="1">
        <f t="array" ref="X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5" s="26">
        <f>DURATION(Table1[[#This Row],[Issue date]],Table1[[#This Row],[Maturity date]],Table1[[#This Row],[Current coupon %]],Table1[[#This Row],[Yield (Annualised)]],Table1[[#This Row],[Coupon Frequency2]])</f>
        <v>1.9033451763252334</v>
      </c>
      <c r="Z45" s="26">
        <f>Table1[[#This Row],[Macaulay Duration in Years]]/(1+Table1[[#This Row],[IRR]])</f>
        <v>1.7080105165042649</v>
      </c>
      <c r="AA45" s="27">
        <f>VLOOKUP(Table1[[#This Row],[Yield Cluster]],'[1]Cluster Details'!$B$3:$C$16,2,0)</f>
        <v>0.11069942689191503</v>
      </c>
      <c r="AB45" s="28">
        <f>PRICE(Table1[[#This Row],[Issue date]],Table1[[#This Row],[Maturity date]],Table1[[#This Row],[Current coupon %]],Table1[[#This Row],[Average Cluster Yield]],100,Table1[[#This Row],[Coupon Frequency2]])*Table1[[#This Row],[Face value]]/100</f>
        <v>985.97418756519528</v>
      </c>
      <c r="AC45" s="27" t="str">
        <f>IF(Table1[[#This Row],[Ask Price]]&gt;Table1[[#This Row],[Calculated Bond Price]],"Rich","Cheap")</f>
        <v>Cheap</v>
      </c>
      <c r="AD45" s="28">
        <f>PRICE(Table1[[#This Row],[Issue date]],Table1[[#This Row],[Maturity date]],Table1[[#This Row],[Current coupon %]],Table1[[#This Row],[Yield (Annualised)]]+$AE$2,100,Table1[[#This Row],[Coupon Frequency2]])*Table1[[#This Row],[Face value]]/100</f>
        <v>963.28874525578317</v>
      </c>
      <c r="AE45" s="28">
        <f>PRICE(Table1[[#This Row],[Issue date]],Table1[[#This Row],[Maturity date]],Table1[[#This Row],[Current coupon %]],Table1[[#This Row],[Yield (Annualised)]]-$AE$2,100,Table1[[#This Row],[Coupon Frequency2]])*Table1[[#This Row],[Face value]]/100</f>
        <v>996.7742398724514</v>
      </c>
      <c r="AF45" s="28">
        <f>(Table1[[#This Row],[P (+ shock)]]+Table1[[#This Row],[P (-shock)]]-2*Table1[[#This Row],[Ask Price]])/(2*Table1[[#This Row],[Ask Price]]*($AE$2^2))</f>
        <v>2.3626511953193368</v>
      </c>
    </row>
    <row r="46" spans="1:32" x14ac:dyDescent="0.25">
      <c r="A46" s="21" t="s">
        <v>192</v>
      </c>
      <c r="B46" s="3" t="s">
        <v>193</v>
      </c>
      <c r="C46" s="3" t="s">
        <v>19</v>
      </c>
      <c r="D46" s="4">
        <v>45181</v>
      </c>
      <c r="E46" s="4">
        <v>46276</v>
      </c>
      <c r="F46" s="3">
        <v>1000</v>
      </c>
      <c r="G46" s="3" t="s">
        <v>20</v>
      </c>
      <c r="H46" s="3">
        <v>886.02</v>
      </c>
      <c r="I46" s="3" t="s">
        <v>20</v>
      </c>
      <c r="J46" s="3">
        <v>88.602000000000004</v>
      </c>
      <c r="K46" s="3">
        <v>3</v>
      </c>
      <c r="L46" s="5">
        <v>0.1</v>
      </c>
      <c r="M46" s="3" t="s">
        <v>21</v>
      </c>
      <c r="N46" s="3">
        <v>359</v>
      </c>
      <c r="O46" s="6">
        <f>Table1[[#This Row],[Current coupon %]]*Table1[[#This Row],[Face value]]/Table1[[#This Row],[Ask Price]]</f>
        <v>0.11286426942958398</v>
      </c>
      <c r="P46" s="3"/>
      <c r="Q46" s="3" t="s">
        <v>22</v>
      </c>
      <c r="R46">
        <f t="shared" si="0"/>
        <v>3</v>
      </c>
      <c r="S46" s="22" cm="1">
        <f t="array" ref="S46">_xlfn.IFS(Table1[[#This Row],[Coupon frequency]]="Semi-annual",2,Table1[[#This Row],[Coupon frequency]]="Quarterly",4,Table1[[#This Row],[Coupon frequency]]="Annual",1,Table1[[#This Row],[Coupon frequency]]="Every 4 months",3,Table1[[#This Row],[Coupon frequency]]="Monthly",12)</f>
        <v>1</v>
      </c>
      <c r="T46">
        <f>Table1[[#This Row],[Term to Maturity (Years)]]*Table1[[#This Row],[Coupon Frequency2]]</f>
        <v>3</v>
      </c>
      <c r="U46">
        <f>Table1[[#This Row],[Face value]]*Table1[[#This Row],[Current coupon %]]/Table1[[#This Row],[Coupon Frequency2]]</f>
        <v>100</v>
      </c>
      <c r="V46" s="23">
        <f>RATE(Table1[[#This Row],[Total No. of Coupons]],Table1[[#This Row],[Coupon Amount]],-Table1[[#This Row],[Ask Price]],Table1[[#This Row],[Face value]])</f>
        <v>0.14991344896764958</v>
      </c>
      <c r="W46" s="24">
        <f>Table1[[#This Row],[IRR]]*Table1[[#This Row],[Coupon Frequency2]]</f>
        <v>0.14991344896764958</v>
      </c>
      <c r="X46" s="25" cm="1">
        <f t="array" ref="X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6" s="26">
        <f>DURATION(Table1[[#This Row],[Issue date]],Table1[[#This Row],[Maturity date]],Table1[[#This Row],[Current coupon %]],Table1[[#This Row],[Yield (Annualised)]],Table1[[#This Row],[Coupon Frequency2]])</f>
        <v>2.715567312374926</v>
      </c>
      <c r="Z46" s="26">
        <f>Table1[[#This Row],[Macaulay Duration in Years]]/(1+Table1[[#This Row],[IRR]])</f>
        <v>2.3615406140460951</v>
      </c>
      <c r="AA46" s="27">
        <f>VLOOKUP(Table1[[#This Row],[Yield Cluster]],'[1]Cluster Details'!$B$3:$C$16,2,0)</f>
        <v>0.11069942689191503</v>
      </c>
      <c r="AB46" s="28">
        <f>PRICE(Table1[[#This Row],[Issue date]],Table1[[#This Row],[Maturity date]],Table1[[#This Row],[Current coupon %]],Table1[[#This Row],[Average Cluster Yield]],100,Table1[[#This Row],[Coupon Frequency2]])*Table1[[#This Row],[Face value]]/100</f>
        <v>973.89171281672418</v>
      </c>
      <c r="AC46" s="27" t="str">
        <f>IF(Table1[[#This Row],[Ask Price]]&gt;Table1[[#This Row],[Calculated Bond Price]],"Rich","Cheap")</f>
        <v>Cheap</v>
      </c>
      <c r="AD46" s="28">
        <f>PRICE(Table1[[#This Row],[Issue date]],Table1[[#This Row],[Maturity date]],Table1[[#This Row],[Current coupon %]],Table1[[#This Row],[Yield (Annualised)]]+$AE$2,100,Table1[[#This Row],[Coupon Frequency2]])*Table1[[#This Row],[Face value]]/100</f>
        <v>865.50082998657524</v>
      </c>
      <c r="AE46" s="28">
        <f>PRICE(Table1[[#This Row],[Issue date]],Table1[[#This Row],[Maturity date]],Table1[[#This Row],[Current coupon %]],Table1[[#This Row],[Yield (Annualised)]]-$AE$2,100,Table1[[#This Row],[Coupon Frequency2]])*Table1[[#This Row],[Face value]]/100</f>
        <v>907.37452577417764</v>
      </c>
      <c r="AF46" s="28">
        <f>(Table1[[#This Row],[P (+ shock)]]+Table1[[#This Row],[P (-shock)]]-2*Table1[[#This Row],[Ask Price]])/(2*Table1[[#This Row],[Ask Price]]*($AE$2^2))</f>
        <v>4.7140908825586232</v>
      </c>
    </row>
    <row r="47" spans="1:32" x14ac:dyDescent="0.25">
      <c r="A47" s="21" t="s">
        <v>194</v>
      </c>
      <c r="B47" s="3" t="s">
        <v>195</v>
      </c>
      <c r="C47" s="3" t="s">
        <v>19</v>
      </c>
      <c r="D47" s="4">
        <v>45377</v>
      </c>
      <c r="E47" s="4">
        <v>47203</v>
      </c>
      <c r="F47" s="3">
        <v>1000</v>
      </c>
      <c r="G47" s="3" t="s">
        <v>20</v>
      </c>
      <c r="H47" s="3">
        <v>901.2</v>
      </c>
      <c r="I47" s="3" t="s">
        <v>20</v>
      </c>
      <c r="J47" s="3">
        <v>90.12</v>
      </c>
      <c r="K47" s="3">
        <v>1</v>
      </c>
      <c r="L47" s="5">
        <v>0.10150000000000001</v>
      </c>
      <c r="M47" s="3" t="s">
        <v>21</v>
      </c>
      <c r="N47" s="3">
        <v>1286</v>
      </c>
      <c r="O47" s="6">
        <f>Table1[[#This Row],[Current coupon %]]*Table1[[#This Row],[Face value]]/Table1[[#This Row],[Ask Price]]</f>
        <v>0.11262760763426542</v>
      </c>
      <c r="P47" s="3" t="s">
        <v>25</v>
      </c>
      <c r="Q47" s="3" t="s">
        <v>22</v>
      </c>
      <c r="R47">
        <f t="shared" si="0"/>
        <v>5</v>
      </c>
      <c r="S47" s="22" cm="1">
        <f t="array" ref="S47">_xlfn.IFS(Table1[[#This Row],[Coupon frequency]]="Semi-annual",2,Table1[[#This Row],[Coupon frequency]]="Quarterly",4,Table1[[#This Row],[Coupon frequency]]="Annual",1,Table1[[#This Row],[Coupon frequency]]="Every 4 months",3,Table1[[#This Row],[Coupon frequency]]="Monthly",12)</f>
        <v>1</v>
      </c>
      <c r="T47">
        <f>Table1[[#This Row],[Term to Maturity (Years)]]*Table1[[#This Row],[Coupon Frequency2]]</f>
        <v>5</v>
      </c>
      <c r="U47">
        <f>Table1[[#This Row],[Face value]]*Table1[[#This Row],[Current coupon %]]/Table1[[#This Row],[Coupon Frequency2]]</f>
        <v>101.5</v>
      </c>
      <c r="V47" s="23">
        <f>RATE(Table1[[#This Row],[Total No. of Coupons]],Table1[[#This Row],[Coupon Amount]],-Table1[[#This Row],[Ask Price]],Table1[[#This Row],[Face value]])</f>
        <v>0.12956013530636451</v>
      </c>
      <c r="W47" s="24">
        <f>Table1[[#This Row],[IRR]]*Table1[[#This Row],[Coupon Frequency2]]</f>
        <v>0.12956013530636451</v>
      </c>
      <c r="X47" s="25" cm="1">
        <f t="array" ref="X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7" s="26">
        <f>DURATION(Table1[[#This Row],[Issue date]],Table1[[#This Row],[Maturity date]],Table1[[#This Row],[Current coupon %]],Table1[[#This Row],[Yield (Annualised)]],Table1[[#This Row],[Coupon Frequency2]])</f>
        <v>4.1108651201971282</v>
      </c>
      <c r="Z47" s="26">
        <f>Table1[[#This Row],[Macaulay Duration in Years]]/(1+Table1[[#This Row],[IRR]])</f>
        <v>3.6393503910990632</v>
      </c>
      <c r="AA47" s="27">
        <f>VLOOKUP(Table1[[#This Row],[Yield Cluster]],'[1]Cluster Details'!$B$3:$C$16,2,0)</f>
        <v>0.11069942689191503</v>
      </c>
      <c r="AB47" s="28">
        <f>PRICE(Table1[[#This Row],[Issue date]],Table1[[#This Row],[Maturity date]],Table1[[#This Row],[Current coupon %]],Table1[[#This Row],[Average Cluster Yield]],100,Table1[[#This Row],[Coupon Frequency2]])*Table1[[#This Row],[Face value]]/100</f>
        <v>966.05960217670099</v>
      </c>
      <c r="AC47" s="27" t="str">
        <f>IF(Table1[[#This Row],[Ask Price]]&gt;Table1[[#This Row],[Calculated Bond Price]],"Rich","Cheap")</f>
        <v>Cheap</v>
      </c>
      <c r="AD47" s="28">
        <f>PRICE(Table1[[#This Row],[Issue date]],Table1[[#This Row],[Maturity date]],Table1[[#This Row],[Current coupon %]],Table1[[#This Row],[Yield (Annualised)]]+$AE$2,100,Table1[[#This Row],[Coupon Frequency2]])*Table1[[#This Row],[Face value]]/100</f>
        <v>869.19822149703236</v>
      </c>
      <c r="AE47" s="28">
        <f>PRICE(Table1[[#This Row],[Issue date]],Table1[[#This Row],[Maturity date]],Table1[[#This Row],[Current coupon %]],Table1[[#This Row],[Yield (Annualised)]]-$AE$2,100,Table1[[#This Row],[Coupon Frequency2]])*Table1[[#This Row],[Face value]]/100</f>
        <v>934.82625010470758</v>
      </c>
      <c r="AF47" s="28">
        <f>(Table1[[#This Row],[P (+ shock)]]+Table1[[#This Row],[P (-shock)]]-2*Table1[[#This Row],[Ask Price]])/(2*Table1[[#This Row],[Ask Price]]*($AE$2^2))</f>
        <v>9.0128251317131021</v>
      </c>
    </row>
    <row r="48" spans="1:32" x14ac:dyDescent="0.25">
      <c r="A48" s="21" t="s">
        <v>196</v>
      </c>
      <c r="B48" s="3" t="s">
        <v>197</v>
      </c>
      <c r="C48" s="3" t="s">
        <v>19</v>
      </c>
      <c r="D48" s="4">
        <v>44916</v>
      </c>
      <c r="E48" s="4">
        <v>45989</v>
      </c>
      <c r="F48" s="3">
        <v>1000000</v>
      </c>
      <c r="G48" s="3" t="s">
        <v>20</v>
      </c>
      <c r="H48" s="3">
        <v>855000</v>
      </c>
      <c r="I48" s="3" t="s">
        <v>20</v>
      </c>
      <c r="J48" s="3">
        <v>85.5</v>
      </c>
      <c r="K48" s="3">
        <v>3</v>
      </c>
      <c r="L48" s="5">
        <v>9.6199999999999994E-2</v>
      </c>
      <c r="M48" s="3" t="s">
        <v>44</v>
      </c>
      <c r="N48" s="3">
        <v>72</v>
      </c>
      <c r="O48" s="6">
        <f>Table1[[#This Row],[Current coupon %]]*Table1[[#This Row],[Face value]]/Table1[[#This Row],[Ask Price]]</f>
        <v>0.11251461988304094</v>
      </c>
      <c r="P48" s="3"/>
      <c r="Q48" s="3" t="s">
        <v>22</v>
      </c>
      <c r="R48">
        <f t="shared" si="0"/>
        <v>3</v>
      </c>
      <c r="S48" s="22" cm="1">
        <f t="array" ref="S48">_xlfn.IFS(Table1[[#This Row],[Coupon frequency]]="Semi-annual",2,Table1[[#This Row],[Coupon frequency]]="Quarterly",4,Table1[[#This Row],[Coupon frequency]]="Annual",1,Table1[[#This Row],[Coupon frequency]]="Every 4 months",3,Table1[[#This Row],[Coupon frequency]]="Monthly",12)</f>
        <v>4</v>
      </c>
      <c r="T48">
        <f>Table1[[#This Row],[Term to Maturity (Years)]]*Table1[[#This Row],[Coupon Frequency2]]</f>
        <v>12</v>
      </c>
      <c r="U48">
        <f>Table1[[#This Row],[Face value]]*Table1[[#This Row],[Current coupon %]]/Table1[[#This Row],[Coupon Frequency2]]</f>
        <v>24050</v>
      </c>
      <c r="V48" s="23">
        <f>RATE(Table1[[#This Row],[Total No. of Coupons]],Table1[[#This Row],[Coupon Amount]],-Table1[[#This Row],[Ask Price]],Table1[[#This Row],[Face value]])</f>
        <v>3.9450879007577516E-2</v>
      </c>
      <c r="W48" s="24">
        <f>Table1[[#This Row],[IRR]]*Table1[[#This Row],[Coupon Frequency2]]</f>
        <v>0.15780351603031006</v>
      </c>
      <c r="X48" s="25" cm="1">
        <f t="array" ref="X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4</v>
      </c>
      <c r="Y48" s="26">
        <f>DURATION(Table1[[#This Row],[Issue date]],Table1[[#This Row],[Maturity date]],Table1[[#This Row],[Current coupon %]],Table1[[#This Row],[Yield (Annualised)]],Table1[[#This Row],[Coupon Frequency2]])</f>
        <v>2.5415484749549275</v>
      </c>
      <c r="Z48" s="26">
        <f>Table1[[#This Row],[Macaulay Duration in Years]]/(1+Table1[[#This Row],[IRR]])</f>
        <v>2.4450876191297151</v>
      </c>
      <c r="AA48" s="27">
        <f>VLOOKUP(Table1[[#This Row],[Yield Cluster]],'[1]Cluster Details'!$B$3:$C$16,2,0)</f>
        <v>0.1712257899185532</v>
      </c>
      <c r="AB48" s="28">
        <f>PRICE(Table1[[#This Row],[Issue date]],Table1[[#This Row],[Maturity date]],Table1[[#This Row],[Current coupon %]],Table1[[#This Row],[Average Cluster Yield]],100,Table1[[#This Row],[Coupon Frequency2]])*Table1[[#This Row],[Face value]]/100</f>
        <v>829559.36640453932</v>
      </c>
      <c r="AC48" s="27" t="str">
        <f>IF(Table1[[#This Row],[Ask Price]]&gt;Table1[[#This Row],[Calculated Bond Price]],"Rich","Cheap")</f>
        <v>Rich</v>
      </c>
      <c r="AD48" s="28">
        <f>PRICE(Table1[[#This Row],[Issue date]],Table1[[#This Row],[Maturity date]],Table1[[#This Row],[Current coupon %]],Table1[[#This Row],[Yield (Annualised)]]+$AE$2,100,Table1[[#This Row],[Coupon Frequency2]])*Table1[[#This Row],[Face value]]/100</f>
        <v>836542.19501953537</v>
      </c>
      <c r="AE48" s="28">
        <f>PRICE(Table1[[#This Row],[Issue date]],Table1[[#This Row],[Maturity date]],Table1[[#This Row],[Current coupon %]],Table1[[#This Row],[Yield (Annualised)]]-$AE$2,100,Table1[[#This Row],[Coupon Frequency2]])*Table1[[#This Row],[Face value]]/100</f>
        <v>878775.31784182671</v>
      </c>
      <c r="AF48" s="28">
        <f>(Table1[[#This Row],[P (+ shock)]]+Table1[[#This Row],[P (-shock)]]-2*Table1[[#This Row],[Ask Price]])/(2*Table1[[#This Row],[Ask Price]]*($AE$2^2))</f>
        <v>31.096566440714579</v>
      </c>
    </row>
    <row r="49" spans="1:32" x14ac:dyDescent="0.25">
      <c r="A49" s="21" t="s">
        <v>198</v>
      </c>
      <c r="B49" s="3" t="s">
        <v>199</v>
      </c>
      <c r="C49" s="3" t="s">
        <v>19</v>
      </c>
      <c r="D49" s="4">
        <v>45499</v>
      </c>
      <c r="E49" s="4">
        <v>49151</v>
      </c>
      <c r="F49" s="3">
        <v>1000</v>
      </c>
      <c r="G49" s="3" t="s">
        <v>20</v>
      </c>
      <c r="H49" s="3">
        <v>980</v>
      </c>
      <c r="I49" s="3" t="s">
        <v>20</v>
      </c>
      <c r="J49" s="3">
        <v>98</v>
      </c>
      <c r="K49" s="3">
        <v>1</v>
      </c>
      <c r="L49" s="5">
        <v>0.11</v>
      </c>
      <c r="M49" s="3" t="s">
        <v>21</v>
      </c>
      <c r="N49" s="3">
        <v>3234</v>
      </c>
      <c r="O49" s="6">
        <f>Table1[[#This Row],[Current coupon %]]*Table1[[#This Row],[Face value]]/Table1[[#This Row],[Ask Price]]</f>
        <v>0.11224489795918367</v>
      </c>
      <c r="P49" s="3"/>
      <c r="Q49" s="3" t="s">
        <v>22</v>
      </c>
      <c r="R49">
        <f t="shared" si="0"/>
        <v>10</v>
      </c>
      <c r="S49" s="22" cm="1">
        <f t="array" ref="S49">_xlfn.IFS(Table1[[#This Row],[Coupon frequency]]="Semi-annual",2,Table1[[#This Row],[Coupon frequency]]="Quarterly",4,Table1[[#This Row],[Coupon frequency]]="Annual",1,Table1[[#This Row],[Coupon frequency]]="Every 4 months",3,Table1[[#This Row],[Coupon frequency]]="Monthly",12)</f>
        <v>1</v>
      </c>
      <c r="T49">
        <f>Table1[[#This Row],[Term to Maturity (Years)]]*Table1[[#This Row],[Coupon Frequency2]]</f>
        <v>10</v>
      </c>
      <c r="U49">
        <f>Table1[[#This Row],[Face value]]*Table1[[#This Row],[Current coupon %]]/Table1[[#This Row],[Coupon Frequency2]]</f>
        <v>110</v>
      </c>
      <c r="V49" s="23">
        <f>RATE(Table1[[#This Row],[Total No. of Coupons]],Table1[[#This Row],[Coupon Amount]],-Table1[[#This Row],[Ask Price]],Table1[[#This Row],[Face value]])</f>
        <v>0.11344523899053199</v>
      </c>
      <c r="W49" s="24">
        <f>Table1[[#This Row],[IRR]]*Table1[[#This Row],[Coupon Frequency2]]</f>
        <v>0.11344523899053199</v>
      </c>
      <c r="X49" s="25" cm="1">
        <f t="array" ref="X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9" s="26">
        <f>DURATION(Table1[[#This Row],[Issue date]],Table1[[#This Row],[Maturity date]],Table1[[#This Row],[Current coupon %]],Table1[[#This Row],[Yield (Annualised)]],Table1[[#This Row],[Coupon Frequency2]])</f>
        <v>6.5010920353648602</v>
      </c>
      <c r="Z49" s="26">
        <f>Table1[[#This Row],[Macaulay Duration in Years]]/(1+Table1[[#This Row],[IRR]])</f>
        <v>5.8387173501759806</v>
      </c>
      <c r="AA49" s="27">
        <f>VLOOKUP(Table1[[#This Row],[Yield Cluster]],'[1]Cluster Details'!$B$3:$C$16,2,0)</f>
        <v>0.11069942689191503</v>
      </c>
      <c r="AB49" s="28">
        <f>PRICE(Table1[[#This Row],[Issue date]],Table1[[#This Row],[Maturity date]],Table1[[#This Row],[Current coupon %]],Table1[[#This Row],[Average Cluster Yield]],100,Table1[[#This Row],[Coupon Frequency2]])*Table1[[#This Row],[Face value]]/100</f>
        <v>995.89296541778106</v>
      </c>
      <c r="AC49" s="27" t="str">
        <f>IF(Table1[[#This Row],[Ask Price]]&gt;Table1[[#This Row],[Calculated Bond Price]],"Rich","Cheap")</f>
        <v>Cheap</v>
      </c>
      <c r="AD49" s="28">
        <f>PRICE(Table1[[#This Row],[Issue date]],Table1[[#This Row],[Maturity date]],Table1[[#This Row],[Current coupon %]],Table1[[#This Row],[Yield (Annualised)]]+$AE$2,100,Table1[[#This Row],[Coupon Frequency2]])*Table1[[#This Row],[Face value]]/100</f>
        <v>925.09090431177276</v>
      </c>
      <c r="AE49" s="28">
        <f>PRICE(Table1[[#This Row],[Issue date]],Table1[[#This Row],[Maturity date]],Table1[[#This Row],[Current coupon %]],Table1[[#This Row],[Yield (Annualised)]]-$AE$2,100,Table1[[#This Row],[Coupon Frequency2]])*Table1[[#This Row],[Face value]]/100</f>
        <v>1039.6869050344233</v>
      </c>
      <c r="AF49" s="28">
        <f>(Table1[[#This Row],[P (+ shock)]]+Table1[[#This Row],[P (-shock)]]-2*Table1[[#This Row],[Ask Price]])/(2*Table1[[#This Row],[Ask Price]]*($AE$2^2))</f>
        <v>24.37657829691906</v>
      </c>
    </row>
    <row r="50" spans="1:32" x14ac:dyDescent="0.25">
      <c r="A50" s="21" t="s">
        <v>40</v>
      </c>
      <c r="B50" s="3" t="s">
        <v>41</v>
      </c>
      <c r="C50" s="3" t="s">
        <v>19</v>
      </c>
      <c r="D50" s="4">
        <v>43483</v>
      </c>
      <c r="E50" s="4">
        <v>47136</v>
      </c>
      <c r="F50" s="3">
        <v>1000</v>
      </c>
      <c r="G50" s="3" t="s">
        <v>20</v>
      </c>
      <c r="H50" s="3">
        <v>840.79998999999998</v>
      </c>
      <c r="I50" s="3" t="s">
        <v>20</v>
      </c>
      <c r="J50" s="3">
        <v>84.079999000000001</v>
      </c>
      <c r="K50" s="3">
        <v>1600</v>
      </c>
      <c r="L50" s="5">
        <v>9.35E-2</v>
      </c>
      <c r="M50" s="3" t="s">
        <v>21</v>
      </c>
      <c r="N50" s="3">
        <v>1219</v>
      </c>
      <c r="O50" s="6">
        <f>Table1[[#This Row],[Current coupon %]]*Table1[[#This Row],[Face value]]/Table1[[#This Row],[Ask Price]]</f>
        <v>0.11120361692677946</v>
      </c>
      <c r="P50" s="3"/>
      <c r="Q50" s="3" t="s">
        <v>22</v>
      </c>
      <c r="R50">
        <f t="shared" si="0"/>
        <v>10</v>
      </c>
      <c r="S50" s="22" cm="1">
        <f t="array" ref="S50">_xlfn.IFS(Table1[[#This Row],[Coupon frequency]]="Semi-annual",2,Table1[[#This Row],[Coupon frequency]]="Quarterly",4,Table1[[#This Row],[Coupon frequency]]="Annual",1,Table1[[#This Row],[Coupon frequency]]="Every 4 months",3,Table1[[#This Row],[Coupon frequency]]="Monthly",12)</f>
        <v>1</v>
      </c>
      <c r="T50">
        <f>Table1[[#This Row],[Term to Maturity (Years)]]*Table1[[#This Row],[Coupon Frequency2]]</f>
        <v>10</v>
      </c>
      <c r="U50">
        <f>Table1[[#This Row],[Face value]]*Table1[[#This Row],[Current coupon %]]/Table1[[#This Row],[Coupon Frequency2]]</f>
        <v>93.5</v>
      </c>
      <c r="V50" s="23">
        <f>RATE(Table1[[#This Row],[Total No. of Coupons]],Table1[[#This Row],[Coupon Amount]],-Table1[[#This Row],[Ask Price]],Table1[[#This Row],[Face value]])</f>
        <v>0.12189476572328214</v>
      </c>
      <c r="W50" s="24">
        <f>Table1[[#This Row],[IRR]]*Table1[[#This Row],[Coupon Frequency2]]</f>
        <v>0.12189476572328214</v>
      </c>
      <c r="X50" s="25" cm="1">
        <f t="array" ref="X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0" s="26">
        <f>DURATION(Table1[[#This Row],[Issue date]],Table1[[#This Row],[Maturity date]],Table1[[#This Row],[Current coupon %]],Table1[[#This Row],[Yield (Annualised)]],Table1[[#This Row],[Coupon Frequency2]])</f>
        <v>6.6154797031175487</v>
      </c>
      <c r="Z50" s="26">
        <f>Table1[[#This Row],[Macaulay Duration in Years]]/(1+Table1[[#This Row],[IRR]])</f>
        <v>5.8967025297177225</v>
      </c>
      <c r="AA50" s="27">
        <f>VLOOKUP(Table1[[#This Row],[Yield Cluster]],'[1]Cluster Details'!$B$3:$C$16,2,0)</f>
        <v>0.11069942689191503</v>
      </c>
      <c r="AB50" s="28">
        <f>PRICE(Table1[[#This Row],[Issue date]],Table1[[#This Row],[Maturity date]],Table1[[#This Row],[Current coupon %]],Table1[[#This Row],[Average Cluster Yield]],100,Table1[[#This Row],[Coupon Frequency2]])*Table1[[#This Row],[Face value]]/100</f>
        <v>899.00496841631457</v>
      </c>
      <c r="AC50" s="27" t="str">
        <f>IF(Table1[[#This Row],[Ask Price]]&gt;Table1[[#This Row],[Calculated Bond Price]],"Rich","Cheap")</f>
        <v>Cheap</v>
      </c>
      <c r="AD50" s="28">
        <f>PRICE(Table1[[#This Row],[Issue date]],Table1[[#This Row],[Maturity date]],Table1[[#This Row],[Current coupon %]],Table1[[#This Row],[Yield (Annualised)]]+$AE$2,100,Table1[[#This Row],[Coupon Frequency2]])*Table1[[#This Row],[Face value]]/100</f>
        <v>793.22884625984454</v>
      </c>
      <c r="AE50" s="28">
        <f>PRICE(Table1[[#This Row],[Issue date]],Table1[[#This Row],[Maturity date]],Table1[[#This Row],[Current coupon %]],Table1[[#This Row],[Yield (Annualised)]]-$AE$2,100,Table1[[#This Row],[Coupon Frequency2]])*Table1[[#This Row],[Face value]]/100</f>
        <v>892.5242955580087</v>
      </c>
      <c r="AF50" s="28">
        <f>(Table1[[#This Row],[P (+ shock)]]+Table1[[#This Row],[P (-shock)]]-2*Table1[[#This Row],[Ask Price]])/(2*Table1[[#This Row],[Ask Price]]*($AE$2^2))</f>
        <v>24.697679990774549</v>
      </c>
    </row>
    <row r="51" spans="1:32" x14ac:dyDescent="0.25">
      <c r="A51" s="21" t="s">
        <v>200</v>
      </c>
      <c r="B51" s="3" t="s">
        <v>201</v>
      </c>
      <c r="C51" s="3" t="s">
        <v>19</v>
      </c>
      <c r="D51" s="4">
        <v>45351</v>
      </c>
      <c r="E51" s="4">
        <v>49003</v>
      </c>
      <c r="F51" s="3">
        <v>100000</v>
      </c>
      <c r="G51" s="3" t="s">
        <v>20</v>
      </c>
      <c r="H51" s="3">
        <v>99310.35</v>
      </c>
      <c r="I51" s="3" t="s">
        <v>20</v>
      </c>
      <c r="J51" s="3">
        <v>99.31035</v>
      </c>
      <c r="K51" s="3">
        <v>5</v>
      </c>
      <c r="L51" s="5">
        <v>0.111</v>
      </c>
      <c r="M51" s="3" t="s">
        <v>21</v>
      </c>
      <c r="N51" s="3">
        <v>3086</v>
      </c>
      <c r="O51" s="6">
        <f>Table1[[#This Row],[Current coupon %]]*Table1[[#This Row],[Face value]]/Table1[[#This Row],[Ask Price]]</f>
        <v>0.11177082751193607</v>
      </c>
      <c r="P51" s="3"/>
      <c r="Q51" s="3" t="s">
        <v>22</v>
      </c>
      <c r="R51">
        <f t="shared" si="0"/>
        <v>10</v>
      </c>
      <c r="S51" s="22" cm="1">
        <f t="array" ref="S51">_xlfn.IFS(Table1[[#This Row],[Coupon frequency]]="Semi-annual",2,Table1[[#This Row],[Coupon frequency]]="Quarterly",4,Table1[[#This Row],[Coupon frequency]]="Annual",1,Table1[[#This Row],[Coupon frequency]]="Every 4 months",3,Table1[[#This Row],[Coupon frequency]]="Monthly",12)</f>
        <v>1</v>
      </c>
      <c r="T51">
        <f>Table1[[#This Row],[Term to Maturity (Years)]]*Table1[[#This Row],[Coupon Frequency2]]</f>
        <v>10</v>
      </c>
      <c r="U51">
        <f>Table1[[#This Row],[Face value]]*Table1[[#This Row],[Current coupon %]]/Table1[[#This Row],[Coupon Frequency2]]</f>
        <v>11100</v>
      </c>
      <c r="V51" s="23">
        <f>RATE(Table1[[#This Row],[Total No. of Coupons]],Table1[[#This Row],[Coupon Amount]],-Table1[[#This Row],[Ask Price]],Table1[[#This Row],[Face value]])</f>
        <v>0.11218176953913828</v>
      </c>
      <c r="W51" s="24">
        <f>Table1[[#This Row],[IRR]]*Table1[[#This Row],[Coupon Frequency2]]</f>
        <v>0.11218176953913828</v>
      </c>
      <c r="X51" s="25" cm="1">
        <f t="array" ref="X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1" s="26">
        <f>DURATION(Table1[[#This Row],[Issue date]],Table1[[#This Row],[Maturity date]],Table1[[#This Row],[Current coupon %]],Table1[[#This Row],[Yield (Annualised)]],Table1[[#This Row],[Coupon Frequency2]])</f>
        <v>6.5032601387144515</v>
      </c>
      <c r="Z51" s="26">
        <f>Table1[[#This Row],[Macaulay Duration in Years]]/(1+Table1[[#This Row],[IRR]])</f>
        <v>5.8472997101986737</v>
      </c>
      <c r="AA51" s="27">
        <f>VLOOKUP(Table1[[#This Row],[Yield Cluster]],'[1]Cluster Details'!$B$3:$C$16,2,0)</f>
        <v>0.11069942689191503</v>
      </c>
      <c r="AB51" s="28">
        <f>PRICE(Table1[[#This Row],[Issue date]],Table1[[#This Row],[Maturity date]],Table1[[#This Row],[Current coupon %]],Table1[[#This Row],[Average Cluster Yield]],100,Table1[[#This Row],[Coupon Frequency2]])*Table1[[#This Row],[Face value]]/100</f>
        <v>100176.49652360519</v>
      </c>
      <c r="AC51" s="27" t="str">
        <f>IF(Table1[[#This Row],[Ask Price]]&gt;Table1[[#This Row],[Calculated Bond Price]],"Rich","Cheap")</f>
        <v>Cheap</v>
      </c>
      <c r="AD51" s="28">
        <f>PRICE(Table1[[#This Row],[Issue date]],Table1[[#This Row],[Maturity date]],Table1[[#This Row],[Current coupon %]],Table1[[#This Row],[Yield (Annualised)]]+$AE$2,100,Table1[[#This Row],[Coupon Frequency2]])*Table1[[#This Row],[Face value]]/100</f>
        <v>93738.078726429972</v>
      </c>
      <c r="AE51" s="28">
        <f>PRICE(Table1[[#This Row],[Issue date]],Table1[[#This Row],[Maturity date]],Table1[[#This Row],[Current coupon %]],Table1[[#This Row],[Yield (Annualised)]]-$AE$2,100,Table1[[#This Row],[Coupon Frequency2]])*Table1[[#This Row],[Face value]]/100</f>
        <v>105368.00627765252</v>
      </c>
      <c r="AF51" s="28">
        <f>(Table1[[#This Row],[P (+ shock)]]+Table1[[#This Row],[P (-shock)]]-2*Table1[[#This Row],[Ask Price]])/(2*Table1[[#This Row],[Ask Price]]*($AE$2^2))</f>
        <v>24.437785391072619</v>
      </c>
    </row>
    <row r="52" spans="1:32" x14ac:dyDescent="0.25">
      <c r="A52" s="21" t="s">
        <v>202</v>
      </c>
      <c r="B52" s="3" t="s">
        <v>203</v>
      </c>
      <c r="C52" s="3" t="s">
        <v>19</v>
      </c>
      <c r="D52" s="4">
        <v>45674</v>
      </c>
      <c r="E52" s="4">
        <v>46769</v>
      </c>
      <c r="F52" s="3">
        <v>1000</v>
      </c>
      <c r="G52" s="3" t="s">
        <v>20</v>
      </c>
      <c r="H52" s="3">
        <v>1000</v>
      </c>
      <c r="I52" s="3" t="s">
        <v>20</v>
      </c>
      <c r="J52" s="3">
        <v>100</v>
      </c>
      <c r="K52" s="3">
        <v>8</v>
      </c>
      <c r="L52" s="5">
        <v>0.1115</v>
      </c>
      <c r="M52" s="3" t="s">
        <v>21</v>
      </c>
      <c r="N52" s="3">
        <v>852</v>
      </c>
      <c r="O52" s="6">
        <f>Table1[[#This Row],[Current coupon %]]*Table1[[#This Row],[Face value]]/Table1[[#This Row],[Ask Price]]</f>
        <v>0.1115</v>
      </c>
      <c r="P52" s="3"/>
      <c r="Q52" s="3" t="s">
        <v>22</v>
      </c>
      <c r="R52">
        <f t="shared" si="0"/>
        <v>3</v>
      </c>
      <c r="S52" s="22" cm="1">
        <f t="array" ref="S52">_xlfn.IFS(Table1[[#This Row],[Coupon frequency]]="Semi-annual",2,Table1[[#This Row],[Coupon frequency]]="Quarterly",4,Table1[[#This Row],[Coupon frequency]]="Annual",1,Table1[[#This Row],[Coupon frequency]]="Every 4 months",3,Table1[[#This Row],[Coupon frequency]]="Monthly",12)</f>
        <v>1</v>
      </c>
      <c r="T52">
        <f>Table1[[#This Row],[Term to Maturity (Years)]]*Table1[[#This Row],[Coupon Frequency2]]</f>
        <v>3</v>
      </c>
      <c r="U52">
        <f>Table1[[#This Row],[Face value]]*Table1[[#This Row],[Current coupon %]]/Table1[[#This Row],[Coupon Frequency2]]</f>
        <v>111.5</v>
      </c>
      <c r="V52" s="23">
        <f>RATE(Table1[[#This Row],[Total No. of Coupons]],Table1[[#This Row],[Coupon Amount]],-Table1[[#This Row],[Ask Price]],Table1[[#This Row],[Face value]])</f>
        <v>0.11150000000000036</v>
      </c>
      <c r="W52" s="24">
        <f>Table1[[#This Row],[IRR]]*Table1[[#This Row],[Coupon Frequency2]]</f>
        <v>0.11150000000000036</v>
      </c>
      <c r="X52" s="25" cm="1">
        <f t="array" ref="X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2" s="26">
        <f>DURATION(Table1[[#This Row],[Issue date]],Table1[[#This Row],[Maturity date]],Table1[[#This Row],[Current coupon %]],Table1[[#This Row],[Yield (Annualised)]],Table1[[#This Row],[Coupon Frequency2]])</f>
        <v>2.7091184077475714</v>
      </c>
      <c r="Z52" s="26">
        <f>Table1[[#This Row],[Macaulay Duration in Years]]/(1+Table1[[#This Row],[IRR]])</f>
        <v>2.4373534932501757</v>
      </c>
      <c r="AA52" s="27">
        <f>VLOOKUP(Table1[[#This Row],[Yield Cluster]],'[1]Cluster Details'!$B$3:$C$16,2,0)</f>
        <v>0.11069942689191503</v>
      </c>
      <c r="AB52" s="28">
        <f>PRICE(Table1[[#This Row],[Issue date]],Table1[[#This Row],[Maturity date]],Table1[[#This Row],[Current coupon %]],Table1[[#This Row],[Average Cluster Yield]],100,Table1[[#This Row],[Coupon Frequency2]])*Table1[[#This Row],[Face value]]/100</f>
        <v>1001.9539948715843</v>
      </c>
      <c r="AC52" s="27" t="str">
        <f>IF(Table1[[#This Row],[Ask Price]]&gt;Table1[[#This Row],[Calculated Bond Price]],"Rich","Cheap")</f>
        <v>Cheap</v>
      </c>
      <c r="AD52" s="28">
        <f>PRICE(Table1[[#This Row],[Issue date]],Table1[[#This Row],[Maturity date]],Table1[[#This Row],[Current coupon %]],Table1[[#This Row],[Yield (Annualised)]]+$AE$2,100,Table1[[#This Row],[Coupon Frequency2]])*Table1[[#This Row],[Face value]]/100</f>
        <v>976.04346170029748</v>
      </c>
      <c r="AE52" s="28">
        <f>PRICE(Table1[[#This Row],[Issue date]],Table1[[#This Row],[Maturity date]],Table1[[#This Row],[Current coupon %]],Table1[[#This Row],[Yield (Annualised)]]-$AE$2,100,Table1[[#This Row],[Coupon Frequency2]])*Table1[[#This Row],[Face value]]/100</f>
        <v>1024.8029947016548</v>
      </c>
      <c r="AF52" s="28">
        <f>(Table1[[#This Row],[P (+ shock)]]+Table1[[#This Row],[P (-shock)]]-2*Table1[[#This Row],[Ask Price]])/(2*Table1[[#This Row],[Ask Price]]*($AE$2^2))</f>
        <v>4.2322820097615477</v>
      </c>
    </row>
    <row r="53" spans="1:32" x14ac:dyDescent="0.25">
      <c r="A53" s="21" t="s">
        <v>47</v>
      </c>
      <c r="B53" s="3" t="s">
        <v>48</v>
      </c>
      <c r="C53" s="3" t="s">
        <v>19</v>
      </c>
      <c r="D53" s="4">
        <v>45377</v>
      </c>
      <c r="E53" s="4">
        <v>49029</v>
      </c>
      <c r="F53" s="3">
        <v>1000</v>
      </c>
      <c r="G53" s="3" t="s">
        <v>20</v>
      </c>
      <c r="H53" s="3">
        <v>960</v>
      </c>
      <c r="I53" s="3" t="s">
        <v>20</v>
      </c>
      <c r="J53" s="3">
        <v>96</v>
      </c>
      <c r="K53" s="3">
        <v>100</v>
      </c>
      <c r="L53" s="5">
        <v>0.1075</v>
      </c>
      <c r="M53" s="3" t="s">
        <v>21</v>
      </c>
      <c r="N53" s="3">
        <v>3112</v>
      </c>
      <c r="O53" s="6">
        <f>Table1[[#This Row],[Current coupon %]]*Table1[[#This Row],[Face value]]/Table1[[#This Row],[Ask Price]]</f>
        <v>0.11197916666666667</v>
      </c>
      <c r="P53" s="3" t="s">
        <v>25</v>
      </c>
      <c r="Q53" s="3" t="s">
        <v>22</v>
      </c>
      <c r="R53">
        <f t="shared" si="0"/>
        <v>10</v>
      </c>
      <c r="S53" s="22" cm="1">
        <f t="array" ref="S53">_xlfn.IFS(Table1[[#This Row],[Coupon frequency]]="Semi-annual",2,Table1[[#This Row],[Coupon frequency]]="Quarterly",4,Table1[[#This Row],[Coupon frequency]]="Annual",1,Table1[[#This Row],[Coupon frequency]]="Every 4 months",3,Table1[[#This Row],[Coupon frequency]]="Monthly",12)</f>
        <v>1</v>
      </c>
      <c r="T53">
        <f>Table1[[#This Row],[Term to Maturity (Years)]]*Table1[[#This Row],[Coupon Frequency2]]</f>
        <v>10</v>
      </c>
      <c r="U53">
        <f>Table1[[#This Row],[Face value]]*Table1[[#This Row],[Current coupon %]]/Table1[[#This Row],[Coupon Frequency2]]</f>
        <v>107.5</v>
      </c>
      <c r="V53" s="23">
        <f>RATE(Table1[[#This Row],[Total No. of Coupons]],Table1[[#This Row],[Coupon Amount]],-Table1[[#This Row],[Ask Price]],Table1[[#This Row],[Face value]])</f>
        <v>0.1144183861387726</v>
      </c>
      <c r="W53" s="24">
        <f>Table1[[#This Row],[IRR]]*Table1[[#This Row],[Coupon Frequency2]]</f>
        <v>0.1144183861387726</v>
      </c>
      <c r="X53" s="25" cm="1">
        <f t="array" ref="X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3" s="26">
        <f>DURATION(Table1[[#This Row],[Issue date]],Table1[[#This Row],[Maturity date]],Table1[[#This Row],[Current coupon %]],Table1[[#This Row],[Yield (Annualised)]],Table1[[#This Row],[Coupon Frequency2]])</f>
        <v>6.5190522244310465</v>
      </c>
      <c r="Z53" s="26">
        <f>Table1[[#This Row],[Macaulay Duration in Years]]/(1+Table1[[#This Row],[IRR]])</f>
        <v>5.8497349877887457</v>
      </c>
      <c r="AA53" s="27">
        <f>VLOOKUP(Table1[[#This Row],[Yield Cluster]],'[1]Cluster Details'!$B$3:$C$16,2,0)</f>
        <v>0.11069942689191503</v>
      </c>
      <c r="AB53" s="28">
        <f>PRICE(Table1[[#This Row],[Issue date]],Table1[[#This Row],[Maturity date]],Table1[[#This Row],[Current coupon %]],Table1[[#This Row],[Average Cluster Yield]],100,Table1[[#This Row],[Coupon Frequency2]])*Table1[[#This Row],[Face value]]/100</f>
        <v>981.21296587210452</v>
      </c>
      <c r="AC53" s="27" t="str">
        <f>IF(Table1[[#This Row],[Ask Price]]&gt;Table1[[#This Row],[Calculated Bond Price]],"Rich","Cheap")</f>
        <v>Cheap</v>
      </c>
      <c r="AD53" s="28">
        <f>PRICE(Table1[[#This Row],[Issue date]],Table1[[#This Row],[Maturity date]],Table1[[#This Row],[Current coupon %]],Table1[[#This Row],[Yield (Annualised)]]+$AE$2,100,Table1[[#This Row],[Coupon Frequency2]])*Table1[[#This Row],[Face value]]/100</f>
        <v>906.1117654434878</v>
      </c>
      <c r="AE53" s="28">
        <f>PRICE(Table1[[#This Row],[Issue date]],Table1[[#This Row],[Maturity date]],Table1[[#This Row],[Current coupon %]],Table1[[#This Row],[Yield (Annualised)]]-$AE$2,100,Table1[[#This Row],[Coupon Frequency2]])*Table1[[#This Row],[Face value]]/100</f>
        <v>1018.5810491465996</v>
      </c>
      <c r="AF53" s="28">
        <f>(Table1[[#This Row],[P (+ shock)]]+Table1[[#This Row],[P (-shock)]]-2*Table1[[#This Row],[Ask Price]])/(2*Table1[[#This Row],[Ask Price]]*($AE$2^2))</f>
        <v>24.441742656705401</v>
      </c>
    </row>
    <row r="54" spans="1:32" x14ac:dyDescent="0.25">
      <c r="A54" s="21" t="s">
        <v>204</v>
      </c>
      <c r="B54" s="3" t="s">
        <v>205</v>
      </c>
      <c r="C54" s="3" t="s">
        <v>19</v>
      </c>
      <c r="D54" s="4">
        <v>45195</v>
      </c>
      <c r="E54" s="4">
        <v>48848</v>
      </c>
      <c r="F54" s="3">
        <v>1000</v>
      </c>
      <c r="G54" s="3" t="s">
        <v>20</v>
      </c>
      <c r="H54" s="3">
        <v>968</v>
      </c>
      <c r="I54" s="3" t="s">
        <v>20</v>
      </c>
      <c r="J54" s="3">
        <v>96.8</v>
      </c>
      <c r="K54" s="3">
        <v>10</v>
      </c>
      <c r="L54" s="5">
        <v>0.1075</v>
      </c>
      <c r="M54" s="3" t="s">
        <v>21</v>
      </c>
      <c r="N54" s="3">
        <v>2931</v>
      </c>
      <c r="O54" s="6">
        <f>Table1[[#This Row],[Current coupon %]]*Table1[[#This Row],[Face value]]/Table1[[#This Row],[Ask Price]]</f>
        <v>0.11105371900826447</v>
      </c>
      <c r="P54" s="3" t="s">
        <v>25</v>
      </c>
      <c r="Q54" s="3" t="s">
        <v>22</v>
      </c>
      <c r="R54">
        <f t="shared" si="0"/>
        <v>10</v>
      </c>
      <c r="S54" s="22" cm="1">
        <f t="array" ref="S54">_xlfn.IFS(Table1[[#This Row],[Coupon frequency]]="Semi-annual",2,Table1[[#This Row],[Coupon frequency]]="Quarterly",4,Table1[[#This Row],[Coupon frequency]]="Annual",1,Table1[[#This Row],[Coupon frequency]]="Every 4 months",3,Table1[[#This Row],[Coupon frequency]]="Monthly",12)</f>
        <v>1</v>
      </c>
      <c r="T54">
        <f>Table1[[#This Row],[Term to Maturity (Years)]]*Table1[[#This Row],[Coupon Frequency2]]</f>
        <v>10</v>
      </c>
      <c r="U54">
        <f>Table1[[#This Row],[Face value]]*Table1[[#This Row],[Current coupon %]]/Table1[[#This Row],[Coupon Frequency2]]</f>
        <v>107.5</v>
      </c>
      <c r="V54" s="23">
        <f>RATE(Table1[[#This Row],[Total No. of Coupons]],Table1[[#This Row],[Coupon Amount]],-Table1[[#This Row],[Ask Price]],Table1[[#This Row],[Face value]])</f>
        <v>0.11300223120590842</v>
      </c>
      <c r="W54" s="24">
        <f>Table1[[#This Row],[IRR]]*Table1[[#This Row],[Coupon Frequency2]]</f>
        <v>0.11300223120590842</v>
      </c>
      <c r="X54" s="25" cm="1">
        <f t="array" ref="X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4" s="26">
        <f>DURATION(Table1[[#This Row],[Issue date]],Table1[[#This Row],[Maturity date]],Table1[[#This Row],[Current coupon %]],Table1[[#This Row],[Yield (Annualised)]],Table1[[#This Row],[Coupon Frequency2]])</f>
        <v>6.5338395261285864</v>
      </c>
      <c r="Z54" s="26">
        <f>Table1[[#This Row],[Macaulay Duration in Years]]/(1+Table1[[#This Row],[IRR]])</f>
        <v>5.8704639963294092</v>
      </c>
      <c r="AA54" s="27">
        <f>VLOOKUP(Table1[[#This Row],[Yield Cluster]],'[1]Cluster Details'!$B$3:$C$16,2,0)</f>
        <v>0.11069942689191503</v>
      </c>
      <c r="AB54" s="28">
        <f>PRICE(Table1[[#This Row],[Issue date]],Table1[[#This Row],[Maturity date]],Table1[[#This Row],[Current coupon %]],Table1[[#This Row],[Average Cluster Yield]],100,Table1[[#This Row],[Coupon Frequency2]])*Table1[[#This Row],[Face value]]/100</f>
        <v>981.21296587210452</v>
      </c>
      <c r="AC54" s="27" t="str">
        <f>IF(Table1[[#This Row],[Ask Price]]&gt;Table1[[#This Row],[Calculated Bond Price]],"Rich","Cheap")</f>
        <v>Cheap</v>
      </c>
      <c r="AD54" s="28">
        <f>PRICE(Table1[[#This Row],[Issue date]],Table1[[#This Row],[Maturity date]],Table1[[#This Row],[Current coupon %]],Table1[[#This Row],[Yield (Annualised)]]+$AE$2,100,Table1[[#This Row],[Coupon Frequency2]])*Table1[[#This Row],[Face value]]/100</f>
        <v>913.4749750122179</v>
      </c>
      <c r="AE54" s="28">
        <f>PRICE(Table1[[#This Row],[Issue date]],Table1[[#This Row],[Maturity date]],Table1[[#This Row],[Current coupon %]],Table1[[#This Row],[Yield (Annualised)]]-$AE$2,100,Table1[[#This Row],[Coupon Frequency2]])*Table1[[#This Row],[Face value]]/100</f>
        <v>1027.2839705375336</v>
      </c>
      <c r="AF54" s="28">
        <f>(Table1[[#This Row],[P (+ shock)]]+Table1[[#This Row],[P (-shock)]]-2*Table1[[#This Row],[Ask Price]])/(2*Table1[[#This Row],[Ask Price]]*($AE$2^2))</f>
        <v>24.581330318963779</v>
      </c>
    </row>
    <row r="55" spans="1:32" x14ac:dyDescent="0.25">
      <c r="A55" s="21" t="s">
        <v>206</v>
      </c>
      <c r="B55" s="3" t="s">
        <v>207</v>
      </c>
      <c r="C55" s="3" t="s">
        <v>19</v>
      </c>
      <c r="D55" s="4">
        <v>45512</v>
      </c>
      <c r="E55" s="4">
        <v>47337</v>
      </c>
      <c r="F55" s="3">
        <v>1000</v>
      </c>
      <c r="G55" s="3" t="s">
        <v>20</v>
      </c>
      <c r="H55" s="3">
        <v>994</v>
      </c>
      <c r="I55" s="3" t="s">
        <v>20</v>
      </c>
      <c r="J55" s="3">
        <v>99.4</v>
      </c>
      <c r="K55" s="3">
        <v>10</v>
      </c>
      <c r="L55" s="5">
        <v>0.11</v>
      </c>
      <c r="M55" s="3" t="s">
        <v>21</v>
      </c>
      <c r="N55" s="3">
        <v>1420</v>
      </c>
      <c r="O55" s="6">
        <f>Table1[[#This Row],[Current coupon %]]*Table1[[#This Row],[Face value]]/Table1[[#This Row],[Ask Price]]</f>
        <v>0.11066398390342053</v>
      </c>
      <c r="P55" s="3"/>
      <c r="Q55" s="3" t="s">
        <v>22</v>
      </c>
      <c r="R55">
        <f t="shared" si="0"/>
        <v>5</v>
      </c>
      <c r="S55" s="22" cm="1">
        <f t="array" ref="S55">_xlfn.IFS(Table1[[#This Row],[Coupon frequency]]="Semi-annual",2,Table1[[#This Row],[Coupon frequency]]="Quarterly",4,Table1[[#This Row],[Coupon frequency]]="Annual",1,Table1[[#This Row],[Coupon frequency]]="Every 4 months",3,Table1[[#This Row],[Coupon frequency]]="Monthly",12)</f>
        <v>1</v>
      </c>
      <c r="T55">
        <f>Table1[[#This Row],[Term to Maturity (Years)]]*Table1[[#This Row],[Coupon Frequency2]]</f>
        <v>5</v>
      </c>
      <c r="U55">
        <f>Table1[[#This Row],[Face value]]*Table1[[#This Row],[Current coupon %]]/Table1[[#This Row],[Coupon Frequency2]]</f>
        <v>110</v>
      </c>
      <c r="V55" s="23">
        <f>RATE(Table1[[#This Row],[Total No. of Coupons]],Table1[[#This Row],[Coupon Amount]],-Table1[[#This Row],[Ask Price]],Table1[[#This Row],[Face value]])</f>
        <v>0.11163008409156604</v>
      </c>
      <c r="W55" s="24">
        <f>Table1[[#This Row],[IRR]]*Table1[[#This Row],[Coupon Frequency2]]</f>
        <v>0.11163008409156604</v>
      </c>
      <c r="X55" s="25" cm="1">
        <f t="array" ref="X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5" s="26">
        <f>DURATION(Table1[[#This Row],[Issue date]],Table1[[#This Row],[Maturity date]],Table1[[#This Row],[Current coupon %]],Table1[[#This Row],[Yield (Annualised)]],Table1[[#This Row],[Coupon Frequency2]])</f>
        <v>4.0967620596942611</v>
      </c>
      <c r="Z55" s="26">
        <f>Table1[[#This Row],[Macaulay Duration in Years]]/(1+Table1[[#This Row],[IRR]])</f>
        <v>3.6853645095815946</v>
      </c>
      <c r="AA55" s="27">
        <f>VLOOKUP(Table1[[#This Row],[Yield Cluster]],'[1]Cluster Details'!$B$3:$C$16,2,0)</f>
        <v>0.11069942689191503</v>
      </c>
      <c r="AB55" s="28">
        <f>PRICE(Table1[[#This Row],[Issue date]],Table1[[#This Row],[Maturity date]],Table1[[#This Row],[Current coupon %]],Table1[[#This Row],[Average Cluster Yield]],100,Table1[[#This Row],[Coupon Frequency2]])*Table1[[#This Row],[Face value]]/100</f>
        <v>997.40490497199733</v>
      </c>
      <c r="AC55" s="27" t="str">
        <f>IF(Table1[[#This Row],[Ask Price]]&gt;Table1[[#This Row],[Calculated Bond Price]],"Rich","Cheap")</f>
        <v>Cheap</v>
      </c>
      <c r="AD55" s="28">
        <f>PRICE(Table1[[#This Row],[Issue date]],Table1[[#This Row],[Maturity date]],Table1[[#This Row],[Current coupon %]],Table1[[#This Row],[Yield (Annualised)]]+$AE$2,100,Table1[[#This Row],[Coupon Frequency2]])*Table1[[#This Row],[Face value]]/100</f>
        <v>958.2449188678977</v>
      </c>
      <c r="AE55" s="28">
        <f>PRICE(Table1[[#This Row],[Issue date]],Table1[[#This Row],[Maturity date]],Table1[[#This Row],[Current coupon %]],Table1[[#This Row],[Yield (Annualised)]]-$AE$2,100,Table1[[#This Row],[Coupon Frequency2]])*Table1[[#This Row],[Face value]]/100</f>
        <v>1031.5687202906456</v>
      </c>
      <c r="AF55" s="28">
        <f>(Table1[[#This Row],[P (+ shock)]]+Table1[[#This Row],[P (-shock)]]-2*Table1[[#This Row],[Ask Price]])/(2*Table1[[#This Row],[Ask Price]]*($AE$2^2))</f>
        <v>9.1229333930750016</v>
      </c>
    </row>
    <row r="56" spans="1:32" x14ac:dyDescent="0.25">
      <c r="A56" s="21" t="s">
        <v>208</v>
      </c>
      <c r="B56" s="3" t="s">
        <v>209</v>
      </c>
      <c r="C56" s="3" t="s">
        <v>19</v>
      </c>
      <c r="D56" s="4">
        <v>45870</v>
      </c>
      <c r="E56" s="4">
        <v>49522</v>
      </c>
      <c r="F56" s="3">
        <v>1000</v>
      </c>
      <c r="G56" s="3" t="s">
        <v>20</v>
      </c>
      <c r="H56" s="3">
        <v>900</v>
      </c>
      <c r="I56" s="3" t="s">
        <v>20</v>
      </c>
      <c r="J56" s="3">
        <v>90</v>
      </c>
      <c r="K56" s="3">
        <v>1</v>
      </c>
      <c r="L56" s="5">
        <v>9.9499999999999991E-2</v>
      </c>
      <c r="M56" s="3" t="s">
        <v>21</v>
      </c>
      <c r="N56" s="3">
        <v>3605</v>
      </c>
      <c r="O56" s="6">
        <f>Table1[[#This Row],[Current coupon %]]*Table1[[#This Row],[Face value]]/Table1[[#This Row],[Ask Price]]</f>
        <v>0.11055555555555555</v>
      </c>
      <c r="P56" s="3" t="s">
        <v>25</v>
      </c>
      <c r="Q56" s="3" t="s">
        <v>22</v>
      </c>
      <c r="R56">
        <f t="shared" si="0"/>
        <v>10</v>
      </c>
      <c r="S56" s="22" cm="1">
        <f t="array" ref="S56">_xlfn.IFS(Table1[[#This Row],[Coupon frequency]]="Semi-annual",2,Table1[[#This Row],[Coupon frequency]]="Quarterly",4,Table1[[#This Row],[Coupon frequency]]="Annual",1,Table1[[#This Row],[Coupon frequency]]="Every 4 months",3,Table1[[#This Row],[Coupon frequency]]="Monthly",12)</f>
        <v>1</v>
      </c>
      <c r="T56">
        <f>Table1[[#This Row],[Term to Maturity (Years)]]*Table1[[#This Row],[Coupon Frequency2]]</f>
        <v>10</v>
      </c>
      <c r="U56">
        <f>Table1[[#This Row],[Face value]]*Table1[[#This Row],[Current coupon %]]/Table1[[#This Row],[Coupon Frequency2]]</f>
        <v>99.499999999999986</v>
      </c>
      <c r="V56" s="23">
        <f>RATE(Table1[[#This Row],[Total No. of Coupons]],Table1[[#This Row],[Coupon Amount]],-Table1[[#This Row],[Ask Price]],Table1[[#This Row],[Face value]])</f>
        <v>0.1169802009201738</v>
      </c>
      <c r="W56" s="24">
        <f>Table1[[#This Row],[IRR]]*Table1[[#This Row],[Coupon Frequency2]]</f>
        <v>0.1169802009201738</v>
      </c>
      <c r="X56" s="25" cm="1">
        <f t="array" ref="X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6" s="26">
        <f>DURATION(Table1[[#This Row],[Issue date]],Table1[[#This Row],[Maturity date]],Table1[[#This Row],[Current coupon %]],Table1[[#This Row],[Yield (Annualised)]],Table1[[#This Row],[Coupon Frequency2]])</f>
        <v>6.5882389866275064</v>
      </c>
      <c r="Z56" s="26">
        <f>Table1[[#This Row],[Macaulay Duration in Years]]/(1+Table1[[#This Row],[IRR]])</f>
        <v>5.8982594151624923</v>
      </c>
      <c r="AA56" s="27">
        <f>VLOOKUP(Table1[[#This Row],[Yield Cluster]],'[1]Cluster Details'!$B$3:$C$16,2,0)</f>
        <v>0.11069942689191503</v>
      </c>
      <c r="AB56" s="28">
        <f>PRICE(Table1[[#This Row],[Issue date]],Table1[[#This Row],[Maturity date]],Table1[[#This Row],[Current coupon %]],Table1[[#This Row],[Average Cluster Yield]],100,Table1[[#This Row],[Coupon Frequency2]])*Table1[[#This Row],[Face value]]/100</f>
        <v>934.23696732593874</v>
      </c>
      <c r="AC56" s="27" t="str">
        <f>IF(Table1[[#This Row],[Ask Price]]&gt;Table1[[#This Row],[Calculated Bond Price]],"Rich","Cheap")</f>
        <v>Cheap</v>
      </c>
      <c r="AD56" s="28">
        <f>PRICE(Table1[[#This Row],[Issue date]],Table1[[#This Row],[Maturity date]],Table1[[#This Row],[Current coupon %]],Table1[[#This Row],[Yield (Annualised)]]+$AE$2,100,Table1[[#This Row],[Coupon Frequency2]])*Table1[[#This Row],[Face value]]/100</f>
        <v>849.0685903117718</v>
      </c>
      <c r="AE56" s="28">
        <f>PRICE(Table1[[#This Row],[Issue date]],Table1[[#This Row],[Maturity date]],Table1[[#This Row],[Current coupon %]],Table1[[#This Row],[Yield (Annualised)]]-$AE$2,100,Table1[[#This Row],[Coupon Frequency2]])*Table1[[#This Row],[Face value]]/100</f>
        <v>955.3839322048575</v>
      </c>
      <c r="AF56" s="28">
        <f>(Table1[[#This Row],[P (+ shock)]]+Table1[[#This Row],[P (-shock)]]-2*Table1[[#This Row],[Ask Price]])/(2*Table1[[#This Row],[Ask Price]]*($AE$2^2))</f>
        <v>24.736236203496748</v>
      </c>
    </row>
    <row r="57" spans="1:32" x14ac:dyDescent="0.25">
      <c r="A57" s="21" t="s">
        <v>210</v>
      </c>
      <c r="B57" s="3" t="s">
        <v>211</v>
      </c>
      <c r="C57" s="3" t="s">
        <v>19</v>
      </c>
      <c r="D57" s="4">
        <v>45630</v>
      </c>
      <c r="E57" s="4">
        <v>46724</v>
      </c>
      <c r="F57" s="3">
        <v>1000</v>
      </c>
      <c r="G57" s="3" t="s">
        <v>20</v>
      </c>
      <c r="H57" s="3">
        <v>950</v>
      </c>
      <c r="I57" s="3" t="s">
        <v>20</v>
      </c>
      <c r="J57" s="3">
        <v>95</v>
      </c>
      <c r="K57" s="3">
        <v>3</v>
      </c>
      <c r="L57" s="5">
        <v>0.105</v>
      </c>
      <c r="M57" s="3" t="s">
        <v>21</v>
      </c>
      <c r="N57" s="3">
        <v>807</v>
      </c>
      <c r="O57" s="6">
        <f>Table1[[#This Row],[Current coupon %]]*Table1[[#This Row],[Face value]]/Table1[[#This Row],[Ask Price]]</f>
        <v>0.11052631578947368</v>
      </c>
      <c r="P57" s="3"/>
      <c r="Q57" s="3" t="s">
        <v>22</v>
      </c>
      <c r="R57">
        <f t="shared" si="0"/>
        <v>3</v>
      </c>
      <c r="S57" s="22" cm="1">
        <f t="array" ref="S57">_xlfn.IFS(Table1[[#This Row],[Coupon frequency]]="Semi-annual",2,Table1[[#This Row],[Coupon frequency]]="Quarterly",4,Table1[[#This Row],[Coupon frequency]]="Annual",1,Table1[[#This Row],[Coupon frequency]]="Every 4 months",3,Table1[[#This Row],[Coupon frequency]]="Monthly",12)</f>
        <v>1</v>
      </c>
      <c r="T57">
        <f>Table1[[#This Row],[Term to Maturity (Years)]]*Table1[[#This Row],[Coupon Frequency2]]</f>
        <v>3</v>
      </c>
      <c r="U57">
        <f>Table1[[#This Row],[Face value]]*Table1[[#This Row],[Current coupon %]]/Table1[[#This Row],[Coupon Frequency2]]</f>
        <v>105</v>
      </c>
      <c r="V57" s="23">
        <f>RATE(Table1[[#This Row],[Total No. of Coupons]],Table1[[#This Row],[Coupon Amount]],-Table1[[#This Row],[Ask Price]],Table1[[#This Row],[Face value]])</f>
        <v>0.12603362461541986</v>
      </c>
      <c r="W57" s="24">
        <f>Table1[[#This Row],[IRR]]*Table1[[#This Row],[Coupon Frequency2]]</f>
        <v>0.12603362461541986</v>
      </c>
      <c r="X57" s="25" cm="1">
        <f t="array" ref="X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7" s="26">
        <f>DURATION(Table1[[#This Row],[Issue date]],Table1[[#This Row],[Maturity date]],Table1[[#This Row],[Current coupon %]],Table1[[#This Row],[Yield (Annualised)]],Table1[[#This Row],[Coupon Frequency2]])</f>
        <v>2.7137421771854164</v>
      </c>
      <c r="Z57" s="26">
        <f>Table1[[#This Row],[Macaulay Duration in Years]]/(1+Table1[[#This Row],[IRR]])</f>
        <v>2.4100010140569781</v>
      </c>
      <c r="AA57" s="27">
        <f>VLOOKUP(Table1[[#This Row],[Yield Cluster]],'[1]Cluster Details'!$B$3:$C$16,2,0)</f>
        <v>0.11069942689191503</v>
      </c>
      <c r="AB57" s="28">
        <f>PRICE(Table1[[#This Row],[Issue date]],Table1[[#This Row],[Maturity date]],Table1[[#This Row],[Current coupon %]],Table1[[#This Row],[Average Cluster Yield]],100,Table1[[#This Row],[Coupon Frequency2]])*Table1[[#This Row],[Face value]]/100</f>
        <v>986.08510890574462</v>
      </c>
      <c r="AC57" s="27" t="str">
        <f>IF(Table1[[#This Row],[Ask Price]]&gt;Table1[[#This Row],[Calculated Bond Price]],"Rich","Cheap")</f>
        <v>Cheap</v>
      </c>
      <c r="AD57" s="28">
        <f>PRICE(Table1[[#This Row],[Issue date]],Table1[[#This Row],[Maturity date]],Table1[[#This Row],[Current coupon %]],Table1[[#This Row],[Yield (Annualised)]]+$AE$2,100,Table1[[#This Row],[Coupon Frequency2]])*Table1[[#This Row],[Face value]]/100</f>
        <v>927.50607207084624</v>
      </c>
      <c r="AE57" s="28">
        <f>PRICE(Table1[[#This Row],[Issue date]],Table1[[#This Row],[Maturity date]],Table1[[#This Row],[Current coupon %]],Table1[[#This Row],[Yield (Annualised)]]-$AE$2,100,Table1[[#This Row],[Coupon Frequency2]])*Table1[[#This Row],[Face value]]/100</f>
        <v>973.32260797240303</v>
      </c>
      <c r="AF57" s="28">
        <f>(Table1[[#This Row],[P (+ shock)]]+Table1[[#This Row],[P (-shock)]]-2*Table1[[#This Row],[Ask Price]])/(2*Table1[[#This Row],[Ask Price]]*($AE$2^2))</f>
        <v>4.3614739118383063</v>
      </c>
    </row>
    <row r="58" spans="1:32" x14ac:dyDescent="0.25">
      <c r="A58" s="21" t="s">
        <v>212</v>
      </c>
      <c r="B58" s="3" t="s">
        <v>213</v>
      </c>
      <c r="C58" s="3" t="s">
        <v>19</v>
      </c>
      <c r="D58" s="4">
        <v>45534</v>
      </c>
      <c r="E58" s="4">
        <v>46264</v>
      </c>
      <c r="F58" s="3">
        <v>100000</v>
      </c>
      <c r="G58" s="3" t="s">
        <v>20</v>
      </c>
      <c r="H58" s="3">
        <v>98100</v>
      </c>
      <c r="I58" s="3" t="s">
        <v>20</v>
      </c>
      <c r="J58" s="3">
        <v>98.1</v>
      </c>
      <c r="K58" s="3">
        <v>1</v>
      </c>
      <c r="L58" s="5">
        <v>0.10800000000000001</v>
      </c>
      <c r="M58" s="3" t="s">
        <v>44</v>
      </c>
      <c r="N58" s="3">
        <v>347</v>
      </c>
      <c r="O58" s="6">
        <f>Table1[[#This Row],[Current coupon %]]*Table1[[#This Row],[Face value]]/Table1[[#This Row],[Ask Price]]</f>
        <v>0.11009174311926608</v>
      </c>
      <c r="P58" s="3"/>
      <c r="Q58" s="3" t="s">
        <v>22</v>
      </c>
      <c r="R58">
        <f t="shared" si="0"/>
        <v>2</v>
      </c>
      <c r="S58" s="22" cm="1">
        <f t="array" ref="S58">_xlfn.IFS(Table1[[#This Row],[Coupon frequency]]="Semi-annual",2,Table1[[#This Row],[Coupon frequency]]="Quarterly",4,Table1[[#This Row],[Coupon frequency]]="Annual",1,Table1[[#This Row],[Coupon frequency]]="Every 4 months",3,Table1[[#This Row],[Coupon frequency]]="Monthly",12)</f>
        <v>4</v>
      </c>
      <c r="T58">
        <f>Table1[[#This Row],[Term to Maturity (Years)]]*Table1[[#This Row],[Coupon Frequency2]]</f>
        <v>8</v>
      </c>
      <c r="U58">
        <f>Table1[[#This Row],[Face value]]*Table1[[#This Row],[Current coupon %]]/Table1[[#This Row],[Coupon Frequency2]]</f>
        <v>2700.0000000000005</v>
      </c>
      <c r="V58" s="23">
        <f>RATE(Table1[[#This Row],[Total No. of Coupons]],Table1[[#This Row],[Coupon Amount]],-Table1[[#This Row],[Ask Price]],Table1[[#This Row],[Face value]])</f>
        <v>2.9703284579634386E-2</v>
      </c>
      <c r="W58" s="24">
        <f>Table1[[#This Row],[IRR]]*Table1[[#This Row],[Coupon Frequency2]]</f>
        <v>0.11881313831853754</v>
      </c>
      <c r="X58" s="25" cm="1">
        <f t="array" ref="X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8" s="26">
        <f>DURATION(Table1[[#This Row],[Issue date]],Table1[[#This Row],[Maturity date]],Table1[[#This Row],[Current coupon %]],Table1[[#This Row],[Yield (Annualised)]],Table1[[#This Row],[Coupon Frequency2]])</f>
        <v>1.823311160563686</v>
      </c>
      <c r="Z58" s="26">
        <f>Table1[[#This Row],[Macaulay Duration in Years]]/(1+Table1[[#This Row],[IRR]])</f>
        <v>1.7707151058647286</v>
      </c>
      <c r="AA58" s="27">
        <f>VLOOKUP(Table1[[#This Row],[Yield Cluster]],'[1]Cluster Details'!$B$3:$C$16,2,0)</f>
        <v>0.11069942689191503</v>
      </c>
      <c r="AB58" s="28">
        <f>PRICE(Table1[[#This Row],[Issue date]],Table1[[#This Row],[Maturity date]],Table1[[#This Row],[Current coupon %]],Table1[[#This Row],[Average Cluster Yield]],100,Table1[[#This Row],[Coupon Frequency2]])*Table1[[#This Row],[Face value]]/100</f>
        <v>99521.590265585895</v>
      </c>
      <c r="AC58" s="27" t="str">
        <f>IF(Table1[[#This Row],[Ask Price]]&gt;Table1[[#This Row],[Calculated Bond Price]],"Rich","Cheap")</f>
        <v>Cheap</v>
      </c>
      <c r="AD58" s="28">
        <f>PRICE(Table1[[#This Row],[Issue date]],Table1[[#This Row],[Maturity date]],Table1[[#This Row],[Current coupon %]],Table1[[#This Row],[Yield (Annualised)]]+$AE$2,100,Table1[[#This Row],[Coupon Frequency2]])*Table1[[#This Row],[Face value]]/100</f>
        <v>96381.16601531468</v>
      </c>
      <c r="AE58" s="28">
        <f>PRICE(Table1[[#This Row],[Issue date]],Table1[[#This Row],[Maturity date]],Table1[[#This Row],[Current coupon %]],Table1[[#This Row],[Yield (Annualised)]]-$AE$2,100,Table1[[#This Row],[Coupon Frequency2]])*Table1[[#This Row],[Face value]]/100</f>
        <v>99855.601875506196</v>
      </c>
      <c r="AF58" s="28">
        <f>(Table1[[#This Row],[P (+ shock)]]+Table1[[#This Row],[P (-shock)]]-2*Table1[[#This Row],[Ask Price]])/(2*Table1[[#This Row],[Ask Price]]*($AE$2^2))</f>
        <v>1.8740005515220077</v>
      </c>
    </row>
    <row r="59" spans="1:32" x14ac:dyDescent="0.25">
      <c r="A59" s="21" t="s">
        <v>214</v>
      </c>
      <c r="B59" s="3" t="s">
        <v>215</v>
      </c>
      <c r="C59" s="3" t="s">
        <v>19</v>
      </c>
      <c r="D59" s="4">
        <v>45436</v>
      </c>
      <c r="E59" s="4">
        <v>46166</v>
      </c>
      <c r="F59" s="3">
        <v>100000</v>
      </c>
      <c r="G59" s="3" t="s">
        <v>20</v>
      </c>
      <c r="H59" s="3">
        <v>99950</v>
      </c>
      <c r="I59" s="3" t="s">
        <v>20</v>
      </c>
      <c r="J59" s="3">
        <v>99.95</v>
      </c>
      <c r="K59" s="3">
        <v>1</v>
      </c>
      <c r="L59" s="5">
        <v>0.11</v>
      </c>
      <c r="M59" s="3" t="s">
        <v>44</v>
      </c>
      <c r="N59" s="3">
        <v>249</v>
      </c>
      <c r="O59" s="6">
        <f>Table1[[#This Row],[Current coupon %]]*Table1[[#This Row],[Face value]]/Table1[[#This Row],[Ask Price]]</f>
        <v>0.11005502751375688</v>
      </c>
      <c r="P59" s="3"/>
      <c r="Q59" s="3" t="s">
        <v>22</v>
      </c>
      <c r="R59">
        <f t="shared" si="0"/>
        <v>2</v>
      </c>
      <c r="S59" s="22" cm="1">
        <f t="array" ref="S59">_xlfn.IFS(Table1[[#This Row],[Coupon frequency]]="Semi-annual",2,Table1[[#This Row],[Coupon frequency]]="Quarterly",4,Table1[[#This Row],[Coupon frequency]]="Annual",1,Table1[[#This Row],[Coupon frequency]]="Every 4 months",3,Table1[[#This Row],[Coupon frequency]]="Monthly",12)</f>
        <v>4</v>
      </c>
      <c r="T59">
        <f>Table1[[#This Row],[Term to Maturity (Years)]]*Table1[[#This Row],[Coupon Frequency2]]</f>
        <v>8</v>
      </c>
      <c r="U59">
        <f>Table1[[#This Row],[Face value]]*Table1[[#This Row],[Current coupon %]]/Table1[[#This Row],[Coupon Frequency2]]</f>
        <v>2750</v>
      </c>
      <c r="V59" s="23">
        <f>RATE(Table1[[#This Row],[Total No. of Coupons]],Table1[[#This Row],[Coupon Amount]],-Table1[[#This Row],[Ask Price]],Table1[[#This Row],[Face value]])</f>
        <v>2.7570500048300577E-2</v>
      </c>
      <c r="W59" s="24">
        <f>Table1[[#This Row],[IRR]]*Table1[[#This Row],[Coupon Frequency2]]</f>
        <v>0.11028200019320231</v>
      </c>
      <c r="X59" s="25" cm="1">
        <f t="array" ref="X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59" s="26">
        <f>DURATION(Table1[[#This Row],[Issue date]],Table1[[#This Row],[Maturity date]],Table1[[#This Row],[Current coupon %]],Table1[[#This Row],[Yield (Annualised)]],Table1[[#This Row],[Coupon Frequency2]])</f>
        <v>1.8222987460880211</v>
      </c>
      <c r="Z59" s="26">
        <f>Table1[[#This Row],[Macaulay Duration in Years]]/(1+Table1[[#This Row],[IRR]])</f>
        <v>1.7734050812108411</v>
      </c>
      <c r="AA59" s="27">
        <f>VLOOKUP(Table1[[#This Row],[Yield Cluster]],'[1]Cluster Details'!$B$3:$C$16,2,0)</f>
        <v>0.11069942689191503</v>
      </c>
      <c r="AB59" s="28">
        <f>PRICE(Table1[[#This Row],[Issue date]],Table1[[#This Row],[Maturity date]],Table1[[#This Row],[Current coupon %]],Table1[[#This Row],[Average Cluster Yield]],100,Table1[[#This Row],[Coupon Frequency2]])*Table1[[#This Row],[Face value]]/100</f>
        <v>99876.043083587385</v>
      </c>
      <c r="AC59" s="27" t="str">
        <f>IF(Table1[[#This Row],[Ask Price]]&gt;Table1[[#This Row],[Calculated Bond Price]],"Rich","Cheap")</f>
        <v>Rich</v>
      </c>
      <c r="AD59" s="28">
        <f>PRICE(Table1[[#This Row],[Issue date]],Table1[[#This Row],[Maturity date]],Table1[[#This Row],[Current coupon %]],Table1[[#This Row],[Yield (Annualised)]]+$AE$2,100,Table1[[#This Row],[Coupon Frequency2]])*Table1[[#This Row],[Face value]]/100</f>
        <v>98196.124597281305</v>
      </c>
      <c r="AE59" s="28">
        <f>PRICE(Table1[[#This Row],[Issue date]],Table1[[#This Row],[Maturity date]],Table1[[#This Row],[Current coupon %]],Table1[[#This Row],[Yield (Annualised)]]-$AE$2,100,Table1[[#This Row],[Coupon Frequency2]])*Table1[[#This Row],[Face value]]/100</f>
        <v>101741.4612646476</v>
      </c>
      <c r="AF59" s="28">
        <f>(Table1[[#This Row],[P (+ shock)]]+Table1[[#This Row],[P (-shock)]]-2*Table1[[#This Row],[Ask Price]])/(2*Table1[[#This Row],[Ask Price]]*($AE$2^2))</f>
        <v>1.880233213051852</v>
      </c>
    </row>
    <row r="60" spans="1:32" x14ac:dyDescent="0.25">
      <c r="A60" s="21" t="s">
        <v>216</v>
      </c>
      <c r="B60" s="3" t="s">
        <v>217</v>
      </c>
      <c r="C60" s="3" t="s">
        <v>19</v>
      </c>
      <c r="D60" s="4">
        <v>45681</v>
      </c>
      <c r="E60" s="4">
        <v>49333</v>
      </c>
      <c r="F60" s="3">
        <v>1000</v>
      </c>
      <c r="G60" s="3" t="s">
        <v>20</v>
      </c>
      <c r="H60" s="3">
        <v>999.98</v>
      </c>
      <c r="I60" s="3" t="s">
        <v>20</v>
      </c>
      <c r="J60" s="3">
        <v>99.998000000000005</v>
      </c>
      <c r="K60" s="3">
        <v>10</v>
      </c>
      <c r="L60" s="5">
        <v>0.11</v>
      </c>
      <c r="M60" s="3" t="s">
        <v>21</v>
      </c>
      <c r="N60" s="3">
        <v>3416</v>
      </c>
      <c r="O60" s="6">
        <f>Table1[[#This Row],[Current coupon %]]*Table1[[#This Row],[Face value]]/Table1[[#This Row],[Ask Price]]</f>
        <v>0.11000220004400088</v>
      </c>
      <c r="P60" s="3"/>
      <c r="Q60" s="3" t="s">
        <v>22</v>
      </c>
      <c r="R60">
        <f t="shared" si="0"/>
        <v>10</v>
      </c>
      <c r="S60" s="22" cm="1">
        <f t="array" ref="S60">_xlfn.IFS(Table1[[#This Row],[Coupon frequency]]="Semi-annual",2,Table1[[#This Row],[Coupon frequency]]="Quarterly",4,Table1[[#This Row],[Coupon frequency]]="Annual",1,Table1[[#This Row],[Coupon frequency]]="Every 4 months",3,Table1[[#This Row],[Coupon frequency]]="Monthly",12)</f>
        <v>1</v>
      </c>
      <c r="T60">
        <f>Table1[[#This Row],[Term to Maturity (Years)]]*Table1[[#This Row],[Coupon Frequency2]]</f>
        <v>10</v>
      </c>
      <c r="U60">
        <f>Table1[[#This Row],[Face value]]*Table1[[#This Row],[Current coupon %]]/Table1[[#This Row],[Coupon Frequency2]]</f>
        <v>110</v>
      </c>
      <c r="V60" s="23">
        <f>RATE(Table1[[#This Row],[Total No. of Coupons]],Table1[[#This Row],[Coupon Amount]],-Table1[[#This Row],[Ask Price]],Table1[[#This Row],[Face value]])</f>
        <v>0.11000339607690261</v>
      </c>
      <c r="W60" s="24">
        <f>Table1[[#This Row],[IRR]]*Table1[[#This Row],[Coupon Frequency2]]</f>
        <v>0.11000339607690261</v>
      </c>
      <c r="X60" s="25" cm="1">
        <f t="array" ref="X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0" s="26">
        <f>DURATION(Table1[[#This Row],[Issue date]],Table1[[#This Row],[Maturity date]],Table1[[#This Row],[Current coupon %]],Table1[[#This Row],[Yield (Annualised)]],Table1[[#This Row],[Coupon Frequency2]])</f>
        <v>6.537012096176845</v>
      </c>
      <c r="Z60" s="26">
        <f>Table1[[#This Row],[Macaulay Duration in Years]]/(1+Table1[[#This Row],[IRR]])</f>
        <v>5.8891820685240059</v>
      </c>
      <c r="AA60" s="27">
        <f>VLOOKUP(Table1[[#This Row],[Yield Cluster]],'[1]Cluster Details'!$B$3:$C$16,2,0)</f>
        <v>0.11069942689191503</v>
      </c>
      <c r="AB60" s="28">
        <f>PRICE(Table1[[#This Row],[Issue date]],Table1[[#This Row],[Maturity date]],Table1[[#This Row],[Current coupon %]],Table1[[#This Row],[Average Cluster Yield]],100,Table1[[#This Row],[Coupon Frequency2]])*Table1[[#This Row],[Face value]]/100</f>
        <v>995.89296541778106</v>
      </c>
      <c r="AC60" s="27" t="str">
        <f>IF(Table1[[#This Row],[Ask Price]]&gt;Table1[[#This Row],[Calculated Bond Price]],"Rich","Cheap")</f>
        <v>Rich</v>
      </c>
      <c r="AD60" s="28">
        <f>PRICE(Table1[[#This Row],[Issue date]],Table1[[#This Row],[Maturity date]],Table1[[#This Row],[Current coupon %]],Table1[[#This Row],[Yield (Annualised)]]+$AE$2,100,Table1[[#This Row],[Coupon Frequency2]])*Table1[[#This Row],[Face value]]/100</f>
        <v>943.47936685558739</v>
      </c>
      <c r="AE60" s="28">
        <f>PRICE(Table1[[#This Row],[Issue date]],Table1[[#This Row],[Maturity date]],Table1[[#This Row],[Current coupon %]],Table1[[#This Row],[Yield (Annualised)]]-$AE$2,100,Table1[[#This Row],[Coupon Frequency2]])*Table1[[#This Row],[Face value]]/100</f>
        <v>1061.4239075112821</v>
      </c>
      <c r="AF60" s="28">
        <f>(Table1[[#This Row],[P (+ shock)]]+Table1[[#This Row],[P (-shock)]]-2*Table1[[#This Row],[Ask Price]])/(2*Table1[[#This Row],[Ask Price]]*($AE$2^2))</f>
        <v>24.716866171670659</v>
      </c>
    </row>
    <row r="61" spans="1:32" x14ac:dyDescent="0.25">
      <c r="A61" s="21" t="s">
        <v>51</v>
      </c>
      <c r="B61" s="3" t="s">
        <v>52</v>
      </c>
      <c r="C61" s="3" t="s">
        <v>19</v>
      </c>
      <c r="D61" s="4">
        <v>44467</v>
      </c>
      <c r="E61" s="4">
        <v>48117</v>
      </c>
      <c r="F61" s="3">
        <v>1000</v>
      </c>
      <c r="G61" s="3" t="s">
        <v>20</v>
      </c>
      <c r="H61" s="3">
        <v>740.7</v>
      </c>
      <c r="I61" s="3" t="s">
        <v>20</v>
      </c>
      <c r="J61" s="3">
        <v>74.069999999999993</v>
      </c>
      <c r="K61" s="3">
        <v>656</v>
      </c>
      <c r="L61" s="5">
        <v>6.7500000000000004E-2</v>
      </c>
      <c r="M61" s="3" t="s">
        <v>53</v>
      </c>
      <c r="N61" s="3">
        <v>2200</v>
      </c>
      <c r="O61" s="6">
        <f>Table1[[#This Row],[Current coupon %]]*Table1[[#This Row],[Face value]]/Table1[[#This Row],[Ask Price]]</f>
        <v>9.113001215066828E-2</v>
      </c>
      <c r="P61" s="3" t="s">
        <v>54</v>
      </c>
      <c r="Q61" s="3" t="s">
        <v>22</v>
      </c>
      <c r="R61">
        <f t="shared" si="0"/>
        <v>10</v>
      </c>
      <c r="S61" s="22" cm="1">
        <f t="array" ref="S61">_xlfn.IFS(Table1[[#This Row],[Coupon frequency]]="Semi-annual",2,Table1[[#This Row],[Coupon frequency]]="Quarterly",4,Table1[[#This Row],[Coupon frequency]]="Annual",1,Table1[[#This Row],[Coupon frequency]]="Every 4 months",3,Table1[[#This Row],[Coupon frequency]]="Monthly",12)</f>
        <v>2</v>
      </c>
      <c r="T61">
        <f>Table1[[#This Row],[Term to Maturity (Years)]]*Table1[[#This Row],[Coupon Frequency2]]</f>
        <v>20</v>
      </c>
      <c r="U61">
        <f>Table1[[#This Row],[Face value]]*Table1[[#This Row],[Current coupon %]]/Table1[[#This Row],[Coupon Frequency2]]</f>
        <v>33.75</v>
      </c>
      <c r="V61" s="23">
        <f>RATE(Table1[[#This Row],[Total No. of Coupons]],Table1[[#This Row],[Coupon Amount]],-Table1[[#This Row],[Ask Price]],Table1[[#This Row],[Face value]])</f>
        <v>5.5546546191669946E-2</v>
      </c>
      <c r="W61" s="24">
        <f>Table1[[#This Row],[IRR]]*Table1[[#This Row],[Coupon Frequency2]]</f>
        <v>0.11109309238333989</v>
      </c>
      <c r="X61" s="25" cm="1">
        <f t="array" ref="X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1" s="26">
        <f>DURATION(Table1[[#This Row],[Issue date]],Table1[[#This Row],[Maturity date]],Table1[[#This Row],[Current coupon %]],Table1[[#This Row],[Yield (Annualised)]],Table1[[#This Row],[Coupon Frequency2]])</f>
        <v>6.9417613813152474</v>
      </c>
      <c r="Z61" s="26">
        <f>Table1[[#This Row],[Macaulay Duration in Years]]/(1+Table1[[#This Row],[IRR]])</f>
        <v>6.5764616504696871</v>
      </c>
      <c r="AA61" s="27">
        <f>VLOOKUP(Table1[[#This Row],[Yield Cluster]],'[1]Cluster Details'!$B$3:$C$16,2,0)</f>
        <v>0.11069942689191503</v>
      </c>
      <c r="AB61" s="28">
        <f>PRICE(Table1[[#This Row],[Issue date]],Table1[[#This Row],[Maturity date]],Table1[[#This Row],[Current coupon %]],Table1[[#This Row],[Average Cluster Yield]],100,Table1[[#This Row],[Coupon Frequency2]])*Table1[[#This Row],[Face value]]/100</f>
        <v>742.69209821102845</v>
      </c>
      <c r="AC61" s="27" t="str">
        <f>IF(Table1[[#This Row],[Ask Price]]&gt;Table1[[#This Row],[Calculated Bond Price]],"Rich","Cheap")</f>
        <v>Cheap</v>
      </c>
      <c r="AD61" s="28">
        <f>PRICE(Table1[[#This Row],[Issue date]],Table1[[#This Row],[Maturity date]],Table1[[#This Row],[Current coupon %]],Table1[[#This Row],[Yield (Annualised)]]+$AE$2,100,Table1[[#This Row],[Coupon Frequency2]])*Table1[[#This Row],[Face value]]/100</f>
        <v>694.08323490688281</v>
      </c>
      <c r="AE61" s="28">
        <f>PRICE(Table1[[#This Row],[Issue date]],Table1[[#This Row],[Maturity date]],Table1[[#This Row],[Current coupon %]],Table1[[#This Row],[Yield (Annualised)]]-$AE$2,100,Table1[[#This Row],[Coupon Frequency2]])*Table1[[#This Row],[Face value]]/100</f>
        <v>791.70341005997614</v>
      </c>
      <c r="AF61" s="28">
        <f>(Table1[[#This Row],[P (+ shock)]]+Table1[[#This Row],[P (-shock)]]-2*Table1[[#This Row],[Ask Price]])/(2*Table1[[#This Row],[Ask Price]]*($AE$2^2))</f>
        <v>29.611482157816699</v>
      </c>
    </row>
    <row r="62" spans="1:32" x14ac:dyDescent="0.25">
      <c r="A62" s="21" t="s">
        <v>218</v>
      </c>
      <c r="B62" s="3" t="s">
        <v>219</v>
      </c>
      <c r="C62" s="3" t="s">
        <v>19</v>
      </c>
      <c r="D62" s="4">
        <v>45750</v>
      </c>
      <c r="E62" s="4">
        <v>49402</v>
      </c>
      <c r="F62" s="3">
        <v>1000</v>
      </c>
      <c r="G62" s="3" t="s">
        <v>20</v>
      </c>
      <c r="H62" s="3">
        <v>1000</v>
      </c>
      <c r="I62" s="3" t="s">
        <v>20</v>
      </c>
      <c r="J62" s="3">
        <v>100</v>
      </c>
      <c r="K62" s="3">
        <v>1</v>
      </c>
      <c r="L62" s="5">
        <v>0.11</v>
      </c>
      <c r="M62" s="3" t="s">
        <v>21</v>
      </c>
      <c r="N62" s="3">
        <v>3485</v>
      </c>
      <c r="O62" s="6">
        <f>Table1[[#This Row],[Current coupon %]]*Table1[[#This Row],[Face value]]/Table1[[#This Row],[Ask Price]]</f>
        <v>0.11</v>
      </c>
      <c r="P62" s="3"/>
      <c r="Q62" s="3" t="s">
        <v>22</v>
      </c>
      <c r="R62">
        <f t="shared" si="0"/>
        <v>10</v>
      </c>
      <c r="S62" s="22" cm="1">
        <f t="array" ref="S62">_xlfn.IFS(Table1[[#This Row],[Coupon frequency]]="Semi-annual",2,Table1[[#This Row],[Coupon frequency]]="Quarterly",4,Table1[[#This Row],[Coupon frequency]]="Annual",1,Table1[[#This Row],[Coupon frequency]]="Every 4 months",3,Table1[[#This Row],[Coupon frequency]]="Monthly",12)</f>
        <v>1</v>
      </c>
      <c r="T62">
        <f>Table1[[#This Row],[Term to Maturity (Years)]]*Table1[[#This Row],[Coupon Frequency2]]</f>
        <v>10</v>
      </c>
      <c r="U62">
        <f>Table1[[#This Row],[Face value]]*Table1[[#This Row],[Current coupon %]]/Table1[[#This Row],[Coupon Frequency2]]</f>
        <v>110</v>
      </c>
      <c r="V62" s="23">
        <f>RATE(Table1[[#This Row],[Total No. of Coupons]],Table1[[#This Row],[Coupon Amount]],-Table1[[#This Row],[Ask Price]],Table1[[#This Row],[Face value]])</f>
        <v>0.10999999999999997</v>
      </c>
      <c r="W62" s="24">
        <f>Table1[[#This Row],[IRR]]*Table1[[#This Row],[Coupon Frequency2]]</f>
        <v>0.10999999999999997</v>
      </c>
      <c r="X62" s="25" cm="1">
        <f t="array" ref="X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2" s="26">
        <f>DURATION(Table1[[#This Row],[Issue date]],Table1[[#This Row],[Maturity date]],Table1[[#This Row],[Current coupon %]],Table1[[#This Row],[Yield (Annualised)]],Table1[[#This Row],[Coupon Frequency2]])</f>
        <v>6.5370475323667412</v>
      </c>
      <c r="Z62" s="26">
        <f>Table1[[#This Row],[Macaulay Duration in Years]]/(1+Table1[[#This Row],[IRR]])</f>
        <v>5.8892320111412086</v>
      </c>
      <c r="AA62" s="27">
        <f>VLOOKUP(Table1[[#This Row],[Yield Cluster]],'[1]Cluster Details'!$B$3:$C$16,2,0)</f>
        <v>0.11069942689191503</v>
      </c>
      <c r="AB62" s="28">
        <f>PRICE(Table1[[#This Row],[Issue date]],Table1[[#This Row],[Maturity date]],Table1[[#This Row],[Current coupon %]],Table1[[#This Row],[Average Cluster Yield]],100,Table1[[#This Row],[Coupon Frequency2]])*Table1[[#This Row],[Face value]]/100</f>
        <v>995.89296541778106</v>
      </c>
      <c r="AC62" s="27" t="str">
        <f>IF(Table1[[#This Row],[Ask Price]]&gt;Table1[[#This Row],[Calculated Bond Price]],"Rich","Cheap")</f>
        <v>Rich</v>
      </c>
      <c r="AD62" s="28">
        <f>PRICE(Table1[[#This Row],[Issue date]],Table1[[#This Row],[Maturity date]],Table1[[#This Row],[Current coupon %]],Table1[[#This Row],[Yield (Annualised)]]+$AE$2,100,Table1[[#This Row],[Coupon Frequency2]])*Table1[[#This Row],[Face value]]/100</f>
        <v>943.49776971589188</v>
      </c>
      <c r="AE62" s="28">
        <f>PRICE(Table1[[#This Row],[Issue date]],Table1[[#This Row],[Maturity date]],Table1[[#This Row],[Current coupon %]],Table1[[#This Row],[Yield (Annualised)]]-$AE$2,100,Table1[[#This Row],[Coupon Frequency2]])*Table1[[#This Row],[Face value]]/100</f>
        <v>1061.4456710570464</v>
      </c>
      <c r="AF62" s="28">
        <f>(Table1[[#This Row],[P (+ shock)]]+Table1[[#This Row],[P (-shock)]]-2*Table1[[#This Row],[Ask Price]])/(2*Table1[[#This Row],[Ask Price]]*($AE$2^2))</f>
        <v>24.717203864690873</v>
      </c>
    </row>
    <row r="63" spans="1:32" x14ac:dyDescent="0.25">
      <c r="A63" s="21" t="s">
        <v>220</v>
      </c>
      <c r="B63" s="3" t="s">
        <v>221</v>
      </c>
      <c r="C63" s="3" t="s">
        <v>19</v>
      </c>
      <c r="D63" s="4">
        <v>45630</v>
      </c>
      <c r="E63" s="4">
        <v>47455</v>
      </c>
      <c r="F63" s="3">
        <v>1000</v>
      </c>
      <c r="G63" s="3" t="s">
        <v>20</v>
      </c>
      <c r="H63" s="3">
        <v>1000</v>
      </c>
      <c r="I63" s="3" t="s">
        <v>20</v>
      </c>
      <c r="J63" s="3">
        <v>100</v>
      </c>
      <c r="K63" s="3">
        <v>1</v>
      </c>
      <c r="L63" s="5">
        <v>0.11</v>
      </c>
      <c r="M63" s="3" t="s">
        <v>21</v>
      </c>
      <c r="N63" s="3">
        <v>1538</v>
      </c>
      <c r="O63" s="6">
        <f>Table1[[#This Row],[Current coupon %]]*Table1[[#This Row],[Face value]]/Table1[[#This Row],[Ask Price]]</f>
        <v>0.11</v>
      </c>
      <c r="P63" s="3"/>
      <c r="Q63" s="3" t="s">
        <v>22</v>
      </c>
      <c r="R63">
        <f t="shared" si="0"/>
        <v>5</v>
      </c>
      <c r="S63" s="22" cm="1">
        <f t="array" ref="S63">_xlfn.IFS(Table1[[#This Row],[Coupon frequency]]="Semi-annual",2,Table1[[#This Row],[Coupon frequency]]="Quarterly",4,Table1[[#This Row],[Coupon frequency]]="Annual",1,Table1[[#This Row],[Coupon frequency]]="Every 4 months",3,Table1[[#This Row],[Coupon frequency]]="Monthly",12)</f>
        <v>1</v>
      </c>
      <c r="T63">
        <f>Table1[[#This Row],[Term to Maturity (Years)]]*Table1[[#This Row],[Coupon Frequency2]]</f>
        <v>5</v>
      </c>
      <c r="U63">
        <f>Table1[[#This Row],[Face value]]*Table1[[#This Row],[Current coupon %]]/Table1[[#This Row],[Coupon Frequency2]]</f>
        <v>110</v>
      </c>
      <c r="V63" s="23">
        <f>RATE(Table1[[#This Row],[Total No. of Coupons]],Table1[[#This Row],[Coupon Amount]],-Table1[[#This Row],[Ask Price]],Table1[[#This Row],[Face value]])</f>
        <v>0.11000000000002166</v>
      </c>
      <c r="W63" s="24">
        <f>Table1[[#This Row],[IRR]]*Table1[[#This Row],[Coupon Frequency2]]</f>
        <v>0.11000000000002166</v>
      </c>
      <c r="X63" s="25" cm="1">
        <f t="array" ref="X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3" s="26">
        <f>DURATION(Table1[[#This Row],[Issue date]],Table1[[#This Row],[Maturity date]],Table1[[#This Row],[Current coupon %]],Table1[[#This Row],[Yield (Annualised)]],Table1[[#This Row],[Coupon Frequency2]])</f>
        <v>4.0996679118130901</v>
      </c>
      <c r="Z63" s="26">
        <f>Table1[[#This Row],[Macaulay Duration in Years]]/(1+Table1[[#This Row],[IRR]])</f>
        <v>3.6933945151468559</v>
      </c>
      <c r="AA63" s="27">
        <f>VLOOKUP(Table1[[#This Row],[Yield Cluster]],'[1]Cluster Details'!$B$3:$C$16,2,0)</f>
        <v>0.11069942689191503</v>
      </c>
      <c r="AB63" s="28">
        <f>PRICE(Table1[[#This Row],[Issue date]],Table1[[#This Row],[Maturity date]],Table1[[#This Row],[Current coupon %]],Table1[[#This Row],[Average Cluster Yield]],100,Table1[[#This Row],[Coupon Frequency2]])*Table1[[#This Row],[Face value]]/100</f>
        <v>997.40490497199733</v>
      </c>
      <c r="AC63" s="27" t="str">
        <f>IF(Table1[[#This Row],[Ask Price]]&gt;Table1[[#This Row],[Calculated Bond Price]],"Rich","Cheap")</f>
        <v>Rich</v>
      </c>
      <c r="AD63" s="28">
        <f>PRICE(Table1[[#This Row],[Issue date]],Table1[[#This Row],[Maturity date]],Table1[[#This Row],[Current coupon %]],Table1[[#This Row],[Yield (Annualised)]]+$AE$2,100,Table1[[#This Row],[Coupon Frequency2]])*Table1[[#This Row],[Face value]]/100</f>
        <v>963.95018418940322</v>
      </c>
      <c r="AE63" s="28">
        <f>PRICE(Table1[[#This Row],[Issue date]],Table1[[#This Row],[Maturity date]],Table1[[#This Row],[Current coupon %]],Table1[[#This Row],[Yield (Annualised)]]-$AE$2,100,Table1[[#This Row],[Coupon Frequency2]])*Table1[[#This Row],[Face value]]/100</f>
        <v>1037.8771351429652</v>
      </c>
      <c r="AF63" s="28">
        <f>(Table1[[#This Row],[P (+ shock)]]+Table1[[#This Row],[P (-shock)]]-2*Table1[[#This Row],[Ask Price]])/(2*Table1[[#This Row],[Ask Price]]*($AE$2^2))</f>
        <v>9.1365966618423045</v>
      </c>
    </row>
    <row r="64" spans="1:32" x14ac:dyDescent="0.25">
      <c r="A64" s="21" t="s">
        <v>222</v>
      </c>
      <c r="B64" s="3" t="s">
        <v>223</v>
      </c>
      <c r="C64" s="3" t="s">
        <v>19</v>
      </c>
      <c r="D64" s="4">
        <v>45735</v>
      </c>
      <c r="E64" s="4">
        <v>49387</v>
      </c>
      <c r="F64" s="3">
        <v>1000</v>
      </c>
      <c r="G64" s="3" t="s">
        <v>20</v>
      </c>
      <c r="H64" s="3">
        <v>980</v>
      </c>
      <c r="I64" s="3" t="s">
        <v>20</v>
      </c>
      <c r="J64" s="3">
        <v>98</v>
      </c>
      <c r="K64" s="3">
        <v>191</v>
      </c>
      <c r="L64" s="5">
        <v>0.1075</v>
      </c>
      <c r="M64" s="3" t="s">
        <v>21</v>
      </c>
      <c r="N64" s="3">
        <v>3470</v>
      </c>
      <c r="O64" s="6">
        <f>Table1[[#This Row],[Current coupon %]]*Table1[[#This Row],[Face value]]/Table1[[#This Row],[Ask Price]]</f>
        <v>0.10969387755102041</v>
      </c>
      <c r="P64" s="3" t="s">
        <v>25</v>
      </c>
      <c r="Q64" s="3" t="s">
        <v>22</v>
      </c>
      <c r="R64">
        <f t="shared" si="0"/>
        <v>10</v>
      </c>
      <c r="S64" s="22" cm="1">
        <f t="array" ref="S64">_xlfn.IFS(Table1[[#This Row],[Coupon frequency]]="Semi-annual",2,Table1[[#This Row],[Coupon frequency]]="Quarterly",4,Table1[[#This Row],[Coupon frequency]]="Annual",1,Table1[[#This Row],[Coupon frequency]]="Every 4 months",3,Table1[[#This Row],[Coupon frequency]]="Monthly",12)</f>
        <v>1</v>
      </c>
      <c r="T64">
        <f>Table1[[#This Row],[Term to Maturity (Years)]]*Table1[[#This Row],[Coupon Frequency2]]</f>
        <v>10</v>
      </c>
      <c r="U64">
        <f>Table1[[#This Row],[Face value]]*Table1[[#This Row],[Current coupon %]]/Table1[[#This Row],[Coupon Frequency2]]</f>
        <v>107.5</v>
      </c>
      <c r="V64" s="23">
        <f>RATE(Table1[[#This Row],[Total No. of Coupons]],Table1[[#This Row],[Coupon Amount]],-Table1[[#This Row],[Ask Price]],Table1[[#This Row],[Face value]])</f>
        <v>0.11090898302461551</v>
      </c>
      <c r="W64" s="24">
        <f>Table1[[#This Row],[IRR]]*Table1[[#This Row],[Coupon Frequency2]]</f>
        <v>0.11090898302461551</v>
      </c>
      <c r="X64" s="25" cm="1">
        <f t="array" ref="X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4" s="26">
        <f>DURATION(Table1[[#This Row],[Issue date]],Table1[[#This Row],[Maturity date]],Table1[[#This Row],[Current coupon %]],Table1[[#This Row],[Yield (Annualised)]],Table1[[#This Row],[Coupon Frequency2]])</f>
        <v>6.555692379385758</v>
      </c>
      <c r="Z64" s="26">
        <f>Table1[[#This Row],[Macaulay Duration in Years]]/(1+Table1[[#This Row],[IRR]])</f>
        <v>5.9011966592770788</v>
      </c>
      <c r="AA64" s="27">
        <f>VLOOKUP(Table1[[#This Row],[Yield Cluster]],'[1]Cluster Details'!$B$3:$C$16,2,0)</f>
        <v>0.11069942689191503</v>
      </c>
      <c r="AB64" s="28">
        <f>PRICE(Table1[[#This Row],[Issue date]],Table1[[#This Row],[Maturity date]],Table1[[#This Row],[Current coupon %]],Table1[[#This Row],[Average Cluster Yield]],100,Table1[[#This Row],[Coupon Frequency2]])*Table1[[#This Row],[Face value]]/100</f>
        <v>981.21296587210452</v>
      </c>
      <c r="AC64" s="27" t="str">
        <f>IF(Table1[[#This Row],[Ask Price]]&gt;Table1[[#This Row],[Calculated Bond Price]],"Rich","Cheap")</f>
        <v>Cheap</v>
      </c>
      <c r="AD64" s="28">
        <f>PRICE(Table1[[#This Row],[Issue date]],Table1[[#This Row],[Maturity date]],Table1[[#This Row],[Current coupon %]],Table1[[#This Row],[Yield (Annualised)]]+$AE$2,100,Table1[[#This Row],[Coupon Frequency2]])*Table1[[#This Row],[Face value]]/100</f>
        <v>924.51733223790598</v>
      </c>
      <c r="AE64" s="28">
        <f>PRICE(Table1[[#This Row],[Issue date]],Table1[[#This Row],[Maturity date]],Table1[[#This Row],[Current coupon %]],Table1[[#This Row],[Yield (Annualised)]]-$AE$2,100,Table1[[#This Row],[Coupon Frequency2]])*Table1[[#This Row],[Face value]]/100</f>
        <v>1040.3412846423366</v>
      </c>
      <c r="AF64" s="28">
        <f>(Table1[[#This Row],[P (+ shock)]]+Table1[[#This Row],[P (-shock)]]-2*Table1[[#This Row],[Ask Price]])/(2*Table1[[#This Row],[Ask Price]]*($AE$2^2))</f>
        <v>24.788861633890853</v>
      </c>
    </row>
    <row r="65" spans="1:32" x14ac:dyDescent="0.25">
      <c r="A65" s="21" t="s">
        <v>224</v>
      </c>
      <c r="B65" s="3" t="s">
        <v>225</v>
      </c>
      <c r="C65" s="3" t="s">
        <v>19</v>
      </c>
      <c r="D65" s="4">
        <v>45777</v>
      </c>
      <c r="E65" s="4">
        <v>49429</v>
      </c>
      <c r="F65" s="3">
        <v>1000</v>
      </c>
      <c r="G65" s="3" t="s">
        <v>20</v>
      </c>
      <c r="H65" s="3">
        <v>1001.5</v>
      </c>
      <c r="I65" s="3" t="s">
        <v>20</v>
      </c>
      <c r="J65" s="3">
        <v>100.15</v>
      </c>
      <c r="K65" s="3">
        <v>4</v>
      </c>
      <c r="L65" s="5">
        <v>0.11</v>
      </c>
      <c r="M65" s="3" t="s">
        <v>21</v>
      </c>
      <c r="N65" s="3">
        <v>3512</v>
      </c>
      <c r="O65" s="6">
        <f>Table1[[#This Row],[Current coupon %]]*Table1[[#This Row],[Face value]]/Table1[[#This Row],[Ask Price]]</f>
        <v>0.10983524712930604</v>
      </c>
      <c r="P65" s="3"/>
      <c r="Q65" s="3" t="s">
        <v>22</v>
      </c>
      <c r="R65">
        <f t="shared" si="0"/>
        <v>10</v>
      </c>
      <c r="S65" s="22" cm="1">
        <f t="array" ref="S65">_xlfn.IFS(Table1[[#This Row],[Coupon frequency]]="Semi-annual",2,Table1[[#This Row],[Coupon frequency]]="Quarterly",4,Table1[[#This Row],[Coupon frequency]]="Annual",1,Table1[[#This Row],[Coupon frequency]]="Every 4 months",3,Table1[[#This Row],[Coupon frequency]]="Monthly",12)</f>
        <v>1</v>
      </c>
      <c r="T65">
        <f>Table1[[#This Row],[Term to Maturity (Years)]]*Table1[[#This Row],[Coupon Frequency2]]</f>
        <v>10</v>
      </c>
      <c r="U65">
        <f>Table1[[#This Row],[Face value]]*Table1[[#This Row],[Current coupon %]]/Table1[[#This Row],[Coupon Frequency2]]</f>
        <v>110</v>
      </c>
      <c r="V65" s="23">
        <f>RATE(Table1[[#This Row],[Total No. of Coupons]],Table1[[#This Row],[Coupon Amount]],-Table1[[#This Row],[Ask Price]],Table1[[#This Row],[Face value]])</f>
        <v>0.10974556953177066</v>
      </c>
      <c r="W65" s="24">
        <f>Table1[[#This Row],[IRR]]*Table1[[#This Row],[Coupon Frequency2]]</f>
        <v>0.10974556953177066</v>
      </c>
      <c r="X65" s="25" cm="1">
        <f t="array" ref="X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5" s="26">
        <f>DURATION(Table1[[#This Row],[Issue date]],Table1[[#This Row],[Maturity date]],Table1[[#This Row],[Current coupon %]],Table1[[#This Row],[Yield (Annualised)]],Table1[[#This Row],[Coupon Frequency2]])</f>
        <v>6.5397023326913972</v>
      </c>
      <c r="Z65" s="26">
        <f>Table1[[#This Row],[Macaulay Duration in Years]]/(1+Table1[[#This Row],[IRR]])</f>
        <v>5.8929744909462993</v>
      </c>
      <c r="AA65" s="27">
        <f>VLOOKUP(Table1[[#This Row],[Yield Cluster]],'[1]Cluster Details'!$B$3:$C$16,2,0)</f>
        <v>0.11069942689191503</v>
      </c>
      <c r="AB65" s="28">
        <f>PRICE(Table1[[#This Row],[Issue date]],Table1[[#This Row],[Maturity date]],Table1[[#This Row],[Current coupon %]],Table1[[#This Row],[Average Cluster Yield]],100,Table1[[#This Row],[Coupon Frequency2]])*Table1[[#This Row],[Face value]]/100</f>
        <v>995.89296541778106</v>
      </c>
      <c r="AC65" s="27" t="str">
        <f>IF(Table1[[#This Row],[Ask Price]]&gt;Table1[[#This Row],[Calculated Bond Price]],"Rich","Cheap")</f>
        <v>Rich</v>
      </c>
      <c r="AD65" s="28">
        <f>PRICE(Table1[[#This Row],[Issue date]],Table1[[#This Row],[Maturity date]],Table1[[#This Row],[Current coupon %]],Table1[[#This Row],[Yield (Annualised)]]+$AE$2,100,Table1[[#This Row],[Coupon Frequency2]])*Table1[[#This Row],[Face value]]/100</f>
        <v>944.87796159795471</v>
      </c>
      <c r="AE65" s="28">
        <f>PRICE(Table1[[#This Row],[Issue date]],Table1[[#This Row],[Maturity date]],Table1[[#This Row],[Current coupon %]],Table1[[#This Row],[Yield (Annualised)]]-$AE$2,100,Table1[[#This Row],[Coupon Frequency2]])*Table1[[#This Row],[Face value]]/100</f>
        <v>1063.0779640176049</v>
      </c>
      <c r="AF65" s="28">
        <f>(Table1[[#This Row],[P (+ shock)]]+Table1[[#This Row],[P (-shock)]]-2*Table1[[#This Row],[Ask Price]])/(2*Table1[[#This Row],[Ask Price]]*($AE$2^2))</f>
        <v>24.74251430633867</v>
      </c>
    </row>
    <row r="66" spans="1:32" x14ac:dyDescent="0.25">
      <c r="A66" s="21" t="s">
        <v>226</v>
      </c>
      <c r="B66" s="3" t="s">
        <v>227</v>
      </c>
      <c r="C66" s="3" t="s">
        <v>19</v>
      </c>
      <c r="D66" s="4">
        <v>42551</v>
      </c>
      <c r="E66" s="4">
        <v>46203</v>
      </c>
      <c r="F66" s="3">
        <v>1000000</v>
      </c>
      <c r="G66" s="3" t="s">
        <v>20</v>
      </c>
      <c r="H66" s="3">
        <v>820000</v>
      </c>
      <c r="I66" s="3" t="s">
        <v>20</v>
      </c>
      <c r="J66" s="3">
        <v>82</v>
      </c>
      <c r="K66" s="3">
        <v>1</v>
      </c>
      <c r="L66" s="5">
        <v>0.09</v>
      </c>
      <c r="M66" s="3" t="s">
        <v>21</v>
      </c>
      <c r="N66" s="3">
        <v>286</v>
      </c>
      <c r="O66" s="6">
        <f>Table1[[#This Row],[Current coupon %]]*Table1[[#This Row],[Face value]]/Table1[[#This Row],[Ask Price]]</f>
        <v>0.10975609756097561</v>
      </c>
      <c r="P66" s="3" t="s">
        <v>25</v>
      </c>
      <c r="Q66" s="3" t="s">
        <v>22</v>
      </c>
      <c r="R66">
        <f t="shared" si="0"/>
        <v>10</v>
      </c>
      <c r="S66" s="22" cm="1">
        <f t="array" ref="S66">_xlfn.IFS(Table1[[#This Row],[Coupon frequency]]="Semi-annual",2,Table1[[#This Row],[Coupon frequency]]="Quarterly",4,Table1[[#This Row],[Coupon frequency]]="Annual",1,Table1[[#This Row],[Coupon frequency]]="Every 4 months",3,Table1[[#This Row],[Coupon frequency]]="Monthly",12)</f>
        <v>1</v>
      </c>
      <c r="T66">
        <f>Table1[[#This Row],[Term to Maturity (Years)]]*Table1[[#This Row],[Coupon Frequency2]]</f>
        <v>10</v>
      </c>
      <c r="U66">
        <f>Table1[[#This Row],[Face value]]*Table1[[#This Row],[Current coupon %]]/Table1[[#This Row],[Coupon Frequency2]]</f>
        <v>90000</v>
      </c>
      <c r="V66" s="23">
        <f>RATE(Table1[[#This Row],[Total No. of Coupons]],Table1[[#This Row],[Coupon Amount]],-Table1[[#This Row],[Ask Price]],Table1[[#This Row],[Face value]])</f>
        <v>0.12213622759929377</v>
      </c>
      <c r="W66" s="24">
        <f>Table1[[#This Row],[IRR]]*Table1[[#This Row],[Coupon Frequency2]]</f>
        <v>0.12213622759929377</v>
      </c>
      <c r="X66" s="25" cm="1">
        <f t="array" ref="X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6" s="26">
        <f>DURATION(Table1[[#This Row],[Issue date]],Table1[[#This Row],[Maturity date]],Table1[[#This Row],[Current coupon %]],Table1[[#This Row],[Yield (Annualised)]],Table1[[#This Row],[Coupon Frequency2]])</f>
        <v>6.6617975767422326</v>
      </c>
      <c r="Z66" s="26">
        <f>Table1[[#This Row],[Macaulay Duration in Years]]/(1+Table1[[#This Row],[IRR]])</f>
        <v>5.9367101898087089</v>
      </c>
      <c r="AA66" s="27">
        <f>VLOOKUP(Table1[[#This Row],[Yield Cluster]],'[1]Cluster Details'!$B$3:$C$16,2,0)</f>
        <v>0.11069942689191503</v>
      </c>
      <c r="AB66" s="28">
        <f>PRICE(Table1[[#This Row],[Issue date]],Table1[[#This Row],[Maturity date]],Table1[[#This Row],[Current coupon %]],Table1[[#This Row],[Average Cluster Yield]],100,Table1[[#This Row],[Coupon Frequency2]])*Table1[[#This Row],[Face value]]/100</f>
        <v>878452.96905236691</v>
      </c>
      <c r="AC66" s="27" t="str">
        <f>IF(Table1[[#This Row],[Ask Price]]&gt;Table1[[#This Row],[Calculated Bond Price]],"Rich","Cheap")</f>
        <v>Cheap</v>
      </c>
      <c r="AD66" s="28">
        <f>PRICE(Table1[[#This Row],[Issue date]],Table1[[#This Row],[Maturity date]],Table1[[#This Row],[Current coupon %]],Table1[[#This Row],[Yield (Annualised)]]+$AE$2,100,Table1[[#This Row],[Coupon Frequency2]])*Table1[[#This Row],[Face value]]/100</f>
        <v>773297.41010703833</v>
      </c>
      <c r="AE66" s="28">
        <f>PRICE(Table1[[#This Row],[Issue date]],Table1[[#This Row],[Maturity date]],Table1[[#This Row],[Current coupon %]],Table1[[#This Row],[Yield (Annualised)]]-$AE$2,100,Table1[[#This Row],[Coupon Frequency2]])*Table1[[#This Row],[Face value]]/100</f>
        <v>870794.18355919584</v>
      </c>
      <c r="AF66" s="28">
        <f>(Table1[[#This Row],[P (+ shock)]]+Table1[[#This Row],[P (-shock)]]-2*Table1[[#This Row],[Ask Price]])/(2*Table1[[#This Row],[Ask Price]]*($AE$2^2))</f>
        <v>24.948741867280816</v>
      </c>
    </row>
    <row r="67" spans="1:32" x14ac:dyDescent="0.25">
      <c r="A67" s="21" t="s">
        <v>228</v>
      </c>
      <c r="B67" s="3" t="s">
        <v>229</v>
      </c>
      <c r="C67" s="3" t="s">
        <v>19</v>
      </c>
      <c r="D67" s="4">
        <v>45862</v>
      </c>
      <c r="E67" s="4">
        <v>49514</v>
      </c>
      <c r="F67" s="3">
        <v>1000</v>
      </c>
      <c r="G67" s="3" t="s">
        <v>20</v>
      </c>
      <c r="H67" s="3">
        <v>965.72</v>
      </c>
      <c r="I67" s="3" t="s">
        <v>20</v>
      </c>
      <c r="J67" s="3">
        <v>96.572000000000003</v>
      </c>
      <c r="K67" s="3">
        <v>32</v>
      </c>
      <c r="L67" s="5">
        <v>0.105</v>
      </c>
      <c r="M67" s="3" t="s">
        <v>21</v>
      </c>
      <c r="N67" s="3">
        <v>3597</v>
      </c>
      <c r="O67" s="6">
        <f>Table1[[#This Row],[Current coupon %]]*Table1[[#This Row],[Face value]]/Table1[[#This Row],[Ask Price]]</f>
        <v>0.10872716729486807</v>
      </c>
      <c r="P67" s="3"/>
      <c r="Q67" s="3" t="s">
        <v>22</v>
      </c>
      <c r="R67">
        <f t="shared" si="0"/>
        <v>10</v>
      </c>
      <c r="S67" s="22" cm="1">
        <f t="array" ref="S67">_xlfn.IFS(Table1[[#This Row],[Coupon frequency]]="Semi-annual",2,Table1[[#This Row],[Coupon frequency]]="Quarterly",4,Table1[[#This Row],[Coupon frequency]]="Annual",1,Table1[[#This Row],[Coupon frequency]]="Every 4 months",3,Table1[[#This Row],[Coupon frequency]]="Monthly",12)</f>
        <v>1</v>
      </c>
      <c r="T67">
        <f>Table1[[#This Row],[Term to Maturity (Years)]]*Table1[[#This Row],[Coupon Frequency2]]</f>
        <v>10</v>
      </c>
      <c r="U67">
        <f>Table1[[#This Row],[Face value]]*Table1[[#This Row],[Current coupon %]]/Table1[[#This Row],[Coupon Frequency2]]</f>
        <v>105</v>
      </c>
      <c r="V67" s="23">
        <f>RATE(Table1[[#This Row],[Total No. of Coupons]],Table1[[#This Row],[Coupon Amount]],-Table1[[#This Row],[Ask Price]],Table1[[#This Row],[Face value]])</f>
        <v>0.11084134341896408</v>
      </c>
      <c r="W67" s="24">
        <f>Table1[[#This Row],[IRR]]*Table1[[#This Row],[Coupon Frequency2]]</f>
        <v>0.11084134341896408</v>
      </c>
      <c r="X67" s="25" cm="1">
        <f t="array" ref="X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7" s="26">
        <f>DURATION(Table1[[#This Row],[Issue date]],Table1[[#This Row],[Maturity date]],Table1[[#This Row],[Current coupon %]],Table1[[#This Row],[Yield (Annualised)]],Table1[[#This Row],[Coupon Frequency2]])</f>
        <v>6.5853833820022771</v>
      </c>
      <c r="Z67" s="26">
        <f>Table1[[#This Row],[Macaulay Duration in Years]]/(1+Table1[[#This Row],[IRR]])</f>
        <v>5.9282843774374525</v>
      </c>
      <c r="AA67" s="27">
        <f>VLOOKUP(Table1[[#This Row],[Yield Cluster]],'[1]Cluster Details'!$B$3:$C$16,2,0)</f>
        <v>0.11069942689191503</v>
      </c>
      <c r="AB67" s="28">
        <f>PRICE(Table1[[#This Row],[Issue date]],Table1[[#This Row],[Maturity date]],Table1[[#This Row],[Current coupon %]],Table1[[#This Row],[Average Cluster Yield]],100,Table1[[#This Row],[Coupon Frequency2]])*Table1[[#This Row],[Face value]]/100</f>
        <v>966.53296632642775</v>
      </c>
      <c r="AC67" s="27" t="str">
        <f>IF(Table1[[#This Row],[Ask Price]]&gt;Table1[[#This Row],[Calculated Bond Price]],"Rich","Cheap")</f>
        <v>Cheap</v>
      </c>
      <c r="AD67" s="28">
        <f>PRICE(Table1[[#This Row],[Issue date]],Table1[[#This Row],[Maturity date]],Table1[[#This Row],[Current coupon %]],Table1[[#This Row],[Yield (Annualised)]]+$AE$2,100,Table1[[#This Row],[Coupon Frequency2]])*Table1[[#This Row],[Face value]]/100</f>
        <v>910.80029799034787</v>
      </c>
      <c r="AE67" s="28">
        <f>PRICE(Table1[[#This Row],[Issue date]],Table1[[#This Row],[Maturity date]],Table1[[#This Row],[Current coupon %]],Table1[[#This Row],[Yield (Annualised)]]-$AE$2,100,Table1[[#This Row],[Coupon Frequency2]])*Table1[[#This Row],[Face value]]/100</f>
        <v>1025.4610481222091</v>
      </c>
      <c r="AF67" s="28">
        <f>(Table1[[#This Row],[P (+ shock)]]+Table1[[#This Row],[P (-shock)]]-2*Table1[[#This Row],[Ask Price]])/(2*Table1[[#This Row],[Ask Price]]*($AE$2^2))</f>
        <v>24.962443112687769</v>
      </c>
    </row>
    <row r="68" spans="1:32" x14ac:dyDescent="0.25">
      <c r="A68" s="21" t="s">
        <v>230</v>
      </c>
      <c r="B68" s="3" t="s">
        <v>231</v>
      </c>
      <c r="C68" s="3" t="s">
        <v>19</v>
      </c>
      <c r="D68" s="4">
        <v>45173</v>
      </c>
      <c r="E68" s="4">
        <v>46269</v>
      </c>
      <c r="F68" s="3">
        <v>100000</v>
      </c>
      <c r="G68" s="3" t="s">
        <v>20</v>
      </c>
      <c r="H68" s="3">
        <v>98000</v>
      </c>
      <c r="I68" s="3" t="s">
        <v>20</v>
      </c>
      <c r="J68" s="3">
        <v>98</v>
      </c>
      <c r="K68" s="3">
        <v>9</v>
      </c>
      <c r="L68" s="5">
        <v>0.1075</v>
      </c>
      <c r="M68" s="3" t="s">
        <v>21</v>
      </c>
      <c r="N68" s="3">
        <v>352</v>
      </c>
      <c r="O68" s="6">
        <f>Table1[[#This Row],[Current coupon %]]*Table1[[#This Row],[Face value]]/Table1[[#This Row],[Ask Price]]</f>
        <v>0.10969387755102041</v>
      </c>
      <c r="P68" s="3"/>
      <c r="Q68" s="3" t="s">
        <v>22</v>
      </c>
      <c r="R68">
        <f t="shared" ref="R68:R131" si="1">ROUND(YEARFRAC(D68,E68),0)</f>
        <v>3</v>
      </c>
      <c r="S68" s="22" cm="1">
        <f t="array" ref="S68">_xlfn.IFS(Table1[[#This Row],[Coupon frequency]]="Semi-annual",2,Table1[[#This Row],[Coupon frequency]]="Quarterly",4,Table1[[#This Row],[Coupon frequency]]="Annual",1,Table1[[#This Row],[Coupon frequency]]="Every 4 months",3,Table1[[#This Row],[Coupon frequency]]="Monthly",12)</f>
        <v>1</v>
      </c>
      <c r="T68">
        <f>Table1[[#This Row],[Term to Maturity (Years)]]*Table1[[#This Row],[Coupon Frequency2]]</f>
        <v>3</v>
      </c>
      <c r="U68">
        <f>Table1[[#This Row],[Face value]]*Table1[[#This Row],[Current coupon %]]/Table1[[#This Row],[Coupon Frequency2]]</f>
        <v>10750</v>
      </c>
      <c r="V68" s="23">
        <f>RATE(Table1[[#This Row],[Total No. of Coupons]],Table1[[#This Row],[Coupon Amount]],-Table1[[#This Row],[Ask Price]],Table1[[#This Row],[Face value]])</f>
        <v>0.11576646822953528</v>
      </c>
      <c r="W68" s="24">
        <f>Table1[[#This Row],[IRR]]*Table1[[#This Row],[Coupon Frequency2]]</f>
        <v>0.11576646822953528</v>
      </c>
      <c r="X68" s="25" cm="1">
        <f t="array" ref="X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8" s="26">
        <f>DURATION(Table1[[#This Row],[Issue date]],Table1[[#This Row],[Maturity date]],Table1[[#This Row],[Current coupon %]],Table1[[#This Row],[Yield (Annualised)]],Table1[[#This Row],[Coupon Frequency2]])</f>
        <v>2.7152626989591373</v>
      </c>
      <c r="Z68" s="26">
        <f>Table1[[#This Row],[Macaulay Duration in Years]]/(1+Table1[[#This Row],[IRR]])</f>
        <v>2.4335403296960831</v>
      </c>
      <c r="AA68" s="27">
        <f>VLOOKUP(Table1[[#This Row],[Yield Cluster]],'[1]Cluster Details'!$B$3:$C$16,2,0)</f>
        <v>0.11069942689191503</v>
      </c>
      <c r="AB68" s="28">
        <f>PRICE(Table1[[#This Row],[Issue date]],Table1[[#This Row],[Maturity date]],Table1[[#This Row],[Current coupon %]],Table1[[#This Row],[Average Cluster Yield]],100,Table1[[#This Row],[Coupon Frequency2]])*Table1[[#This Row],[Face value]]/100</f>
        <v>99219.101456734556</v>
      </c>
      <c r="AC68" s="27" t="str">
        <f>IF(Table1[[#This Row],[Ask Price]]&gt;Table1[[#This Row],[Calculated Bond Price]],"Rich","Cheap")</f>
        <v>Cheap</v>
      </c>
      <c r="AD68" s="28">
        <f>PRICE(Table1[[#This Row],[Issue date]],Table1[[#This Row],[Maturity date]],Table1[[#This Row],[Current coupon %]],Table1[[#This Row],[Yield (Annualised)]]+$AE$2,100,Table1[[#This Row],[Coupon Frequency2]])*Table1[[#This Row],[Face value]]/100</f>
        <v>95655.813669884374</v>
      </c>
      <c r="AE68" s="28">
        <f>PRICE(Table1[[#This Row],[Issue date]],Table1[[#This Row],[Maturity date]],Table1[[#This Row],[Current coupon %]],Table1[[#This Row],[Yield (Annualised)]]-$AE$2,100,Table1[[#This Row],[Coupon Frequency2]])*Table1[[#This Row],[Face value]]/100</f>
        <v>100426.76449948343</v>
      </c>
      <c r="AF68" s="28">
        <f>(Table1[[#This Row],[P (+ shock)]]+Table1[[#This Row],[P (-shock)]]-2*Table1[[#This Row],[Ask Price]])/(2*Table1[[#This Row],[Ask Price]]*($AE$2^2))</f>
        <v>4.2131719065204081</v>
      </c>
    </row>
    <row r="69" spans="1:32" x14ac:dyDescent="0.25">
      <c r="A69" s="21" t="s">
        <v>232</v>
      </c>
      <c r="B69" s="3" t="s">
        <v>233</v>
      </c>
      <c r="C69" s="3" t="s">
        <v>19</v>
      </c>
      <c r="D69" s="4">
        <v>45443</v>
      </c>
      <c r="E69" s="4">
        <v>49095</v>
      </c>
      <c r="F69" s="3">
        <v>1000</v>
      </c>
      <c r="G69" s="3" t="s">
        <v>20</v>
      </c>
      <c r="H69" s="3">
        <v>980.1</v>
      </c>
      <c r="I69" s="3" t="s">
        <v>20</v>
      </c>
      <c r="J69" s="3">
        <v>98.009999999999906</v>
      </c>
      <c r="K69" s="3">
        <v>1</v>
      </c>
      <c r="L69" s="5">
        <v>0.1075</v>
      </c>
      <c r="M69" s="3" t="s">
        <v>21</v>
      </c>
      <c r="N69" s="3">
        <v>3178</v>
      </c>
      <c r="O69" s="6">
        <f>Table1[[#This Row],[Current coupon %]]*Table1[[#This Row],[Face value]]/Table1[[#This Row],[Ask Price]]</f>
        <v>0.10968268544026119</v>
      </c>
      <c r="P69" s="3" t="s">
        <v>25</v>
      </c>
      <c r="Q69" s="3" t="s">
        <v>22</v>
      </c>
      <c r="R69">
        <f t="shared" si="1"/>
        <v>10</v>
      </c>
      <c r="S69" s="22" cm="1">
        <f t="array" ref="S69">_xlfn.IFS(Table1[[#This Row],[Coupon frequency]]="Semi-annual",2,Table1[[#This Row],[Coupon frequency]]="Quarterly",4,Table1[[#This Row],[Coupon frequency]]="Annual",1,Table1[[#This Row],[Coupon frequency]]="Every 4 months",3,Table1[[#This Row],[Coupon frequency]]="Monthly",12)</f>
        <v>1</v>
      </c>
      <c r="T69">
        <f>Table1[[#This Row],[Term to Maturity (Years)]]*Table1[[#This Row],[Coupon Frequency2]]</f>
        <v>10</v>
      </c>
      <c r="U69">
        <f>Table1[[#This Row],[Face value]]*Table1[[#This Row],[Current coupon %]]/Table1[[#This Row],[Coupon Frequency2]]</f>
        <v>107.5</v>
      </c>
      <c r="V69" s="23">
        <f>RATE(Table1[[#This Row],[Total No. of Coupons]],Table1[[#This Row],[Coupon Amount]],-Table1[[#This Row],[Ask Price]],Table1[[#This Row],[Face value]])</f>
        <v>0.1108916927328564</v>
      </c>
      <c r="W69" s="24">
        <f>Table1[[#This Row],[IRR]]*Table1[[#This Row],[Coupon Frequency2]]</f>
        <v>0.1108916927328564</v>
      </c>
      <c r="X69" s="25" cm="1">
        <f t="array" ref="X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69" s="26">
        <f>DURATION(Table1[[#This Row],[Issue date]],Table1[[#This Row],[Maturity date]],Table1[[#This Row],[Current coupon %]],Table1[[#This Row],[Yield (Annualised)]],Table1[[#This Row],[Coupon Frequency2]])</f>
        <v>6.5558728585607939</v>
      </c>
      <c r="Z69" s="26">
        <f>Table1[[#This Row],[Macaulay Duration in Years]]/(1+Table1[[#This Row],[IRR]])</f>
        <v>5.9014509708259455</v>
      </c>
      <c r="AA69" s="27">
        <f>VLOOKUP(Table1[[#This Row],[Yield Cluster]],'[1]Cluster Details'!$B$3:$C$16,2,0)</f>
        <v>0.11069942689191503</v>
      </c>
      <c r="AB69" s="28">
        <f>PRICE(Table1[[#This Row],[Issue date]],Table1[[#This Row],[Maturity date]],Table1[[#This Row],[Current coupon %]],Table1[[#This Row],[Average Cluster Yield]],100,Table1[[#This Row],[Coupon Frequency2]])*Table1[[#This Row],[Face value]]/100</f>
        <v>981.21296587210452</v>
      </c>
      <c r="AC69" s="27" t="str">
        <f>IF(Table1[[#This Row],[Ask Price]]&gt;Table1[[#This Row],[Calculated Bond Price]],"Rich","Cheap")</f>
        <v>Cheap</v>
      </c>
      <c r="AD69" s="28">
        <f>PRICE(Table1[[#This Row],[Issue date]],Table1[[#This Row],[Maturity date]],Table1[[#This Row],[Current coupon %]],Table1[[#This Row],[Yield (Annualised)]]+$AE$2,100,Table1[[#This Row],[Coupon Frequency2]])*Table1[[#This Row],[Face value]]/100</f>
        <v>924.60933960300201</v>
      </c>
      <c r="AE69" s="28">
        <f>PRICE(Table1[[#This Row],[Issue date]],Table1[[#This Row],[Maturity date]],Table1[[#This Row],[Current coupon %]],Table1[[#This Row],[Yield (Annualised)]]-$AE$2,100,Table1[[#This Row],[Coupon Frequency2]])*Table1[[#This Row],[Face value]]/100</f>
        <v>1040.4501102491074</v>
      </c>
      <c r="AF69" s="28">
        <f>(Table1[[#This Row],[P (+ shock)]]+Table1[[#This Row],[P (-shock)]]-2*Table1[[#This Row],[Ask Price]])/(2*Table1[[#This Row],[Ask Price]]*($AE$2^2))</f>
        <v>24.790581839146473</v>
      </c>
    </row>
    <row r="70" spans="1:32" x14ac:dyDescent="0.25">
      <c r="A70" s="21" t="s">
        <v>234</v>
      </c>
      <c r="B70" s="3" t="s">
        <v>235</v>
      </c>
      <c r="C70" s="3" t="s">
        <v>19</v>
      </c>
      <c r="D70" s="4">
        <v>44494</v>
      </c>
      <c r="E70" s="4">
        <v>46350</v>
      </c>
      <c r="F70" s="3">
        <v>1000</v>
      </c>
      <c r="G70" s="3" t="s">
        <v>20</v>
      </c>
      <c r="H70" s="3">
        <v>1095.3</v>
      </c>
      <c r="I70" s="3" t="s">
        <v>20</v>
      </c>
      <c r="J70" s="3">
        <v>109.53</v>
      </c>
      <c r="K70" s="3">
        <v>100</v>
      </c>
      <c r="L70" s="5">
        <v>0.12</v>
      </c>
      <c r="M70" s="3" t="s">
        <v>21</v>
      </c>
      <c r="N70" s="3">
        <v>433</v>
      </c>
      <c r="O70" s="6">
        <f>Table1[[#This Row],[Current coupon %]]*Table1[[#This Row],[Face value]]/Table1[[#This Row],[Ask Price]]</f>
        <v>0.10955902492467817</v>
      </c>
      <c r="P70" s="3"/>
      <c r="Q70" s="3" t="s">
        <v>22</v>
      </c>
      <c r="R70">
        <f t="shared" si="1"/>
        <v>5</v>
      </c>
      <c r="S70" s="22" cm="1">
        <f t="array" ref="S70">_xlfn.IFS(Table1[[#This Row],[Coupon frequency]]="Semi-annual",2,Table1[[#This Row],[Coupon frequency]]="Quarterly",4,Table1[[#This Row],[Coupon frequency]]="Annual",1,Table1[[#This Row],[Coupon frequency]]="Every 4 months",3,Table1[[#This Row],[Coupon frequency]]="Monthly",12)</f>
        <v>1</v>
      </c>
      <c r="T70">
        <f>Table1[[#This Row],[Term to Maturity (Years)]]*Table1[[#This Row],[Coupon Frequency2]]</f>
        <v>5</v>
      </c>
      <c r="U70">
        <f>Table1[[#This Row],[Face value]]*Table1[[#This Row],[Current coupon %]]/Table1[[#This Row],[Coupon Frequency2]]</f>
        <v>120</v>
      </c>
      <c r="V70" s="23">
        <f>RATE(Table1[[#This Row],[Total No. of Coupons]],Table1[[#This Row],[Coupon Amount]],-Table1[[#This Row],[Ask Price]],Table1[[#This Row],[Face value]])</f>
        <v>9.5169572890659096E-2</v>
      </c>
      <c r="W70" s="24">
        <f>Table1[[#This Row],[IRR]]*Table1[[#This Row],[Coupon Frequency2]]</f>
        <v>9.5169572890659096E-2</v>
      </c>
      <c r="X70" s="25" cm="1">
        <f t="array" ref="X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 s="26">
        <f>DURATION(Table1[[#This Row],[Issue date]],Table1[[#This Row],[Maturity date]],Table1[[#This Row],[Current coupon %]],Table1[[#This Row],[Yield (Annualised)]],Table1[[#This Row],[Coupon Frequency2]])</f>
        <v>3.7602490260630832</v>
      </c>
      <c r="Z70" s="26">
        <f>Table1[[#This Row],[Macaulay Duration in Years]]/(1+Table1[[#This Row],[IRR]])</f>
        <v>3.433485662077012</v>
      </c>
      <c r="AA70" s="27">
        <f>VLOOKUP(Table1[[#This Row],[Yield Cluster]],'[1]Cluster Details'!$B$3:$C$16,2,0)</f>
        <v>7.8548801574189142E-2</v>
      </c>
      <c r="AB70" s="28">
        <f>PRICE(Table1[[#This Row],[Issue date]],Table1[[#This Row],[Maturity date]],Table1[[#This Row],[Current coupon %]],Table1[[#This Row],[Average Cluster Yield]],100,Table1[[#This Row],[Coupon Frequency2]])*Table1[[#This Row],[Face value]]/100</f>
        <v>1167.993767915558</v>
      </c>
      <c r="AC70" s="27" t="str">
        <f>IF(Table1[[#This Row],[Ask Price]]&gt;Table1[[#This Row],[Calculated Bond Price]],"Rich","Cheap")</f>
        <v>Cheap</v>
      </c>
      <c r="AD70" s="28">
        <f>PRICE(Table1[[#This Row],[Issue date]],Table1[[#This Row],[Maturity date]],Table1[[#This Row],[Current coupon %]],Table1[[#This Row],[Yield (Annualised)]]+$AE$2,100,Table1[[#This Row],[Coupon Frequency2]])*Table1[[#This Row],[Face value]]/100</f>
        <v>1055.7199724185134</v>
      </c>
      <c r="AE70" s="28">
        <f>PRICE(Table1[[#This Row],[Issue date]],Table1[[#This Row],[Maturity date]],Table1[[#This Row],[Current coupon %]],Table1[[#This Row],[Yield (Annualised)]]-$AE$2,100,Table1[[#This Row],[Coupon Frequency2]])*Table1[[#This Row],[Face value]]/100</f>
        <v>1138.6095118415947</v>
      </c>
      <c r="AF70" s="28">
        <f>(Table1[[#This Row],[P (+ shock)]]+Table1[[#This Row],[P (-shock)]]-2*Table1[[#This Row],[Ask Price]])/(2*Table1[[#This Row],[Ask Price]]*($AE$2^2))</f>
        <v>17.024944125391059</v>
      </c>
    </row>
    <row r="71" spans="1:32" x14ac:dyDescent="0.25">
      <c r="A71" s="21" t="s">
        <v>236</v>
      </c>
      <c r="B71" s="3" t="s">
        <v>237</v>
      </c>
      <c r="C71" s="3" t="s">
        <v>19</v>
      </c>
      <c r="D71" s="4">
        <v>44243</v>
      </c>
      <c r="E71" s="4">
        <v>46252</v>
      </c>
      <c r="F71" s="3">
        <v>1000000</v>
      </c>
      <c r="G71" s="3" t="s">
        <v>20</v>
      </c>
      <c r="H71" s="3">
        <v>890000</v>
      </c>
      <c r="I71" s="3" t="s">
        <v>20</v>
      </c>
      <c r="J71" s="3">
        <v>89</v>
      </c>
      <c r="K71" s="3">
        <v>1</v>
      </c>
      <c r="L71" s="5">
        <v>9.7500000000000003E-2</v>
      </c>
      <c r="M71" s="3" t="s">
        <v>21</v>
      </c>
      <c r="N71" s="3">
        <v>335</v>
      </c>
      <c r="O71" s="6">
        <f>Table1[[#This Row],[Current coupon %]]*Table1[[#This Row],[Face value]]/Table1[[#This Row],[Ask Price]]</f>
        <v>0.10955056179775281</v>
      </c>
      <c r="P71" s="3"/>
      <c r="Q71" s="3" t="s">
        <v>22</v>
      </c>
      <c r="R71">
        <f t="shared" si="1"/>
        <v>6</v>
      </c>
      <c r="S71" s="22" cm="1">
        <f t="array" ref="S71">_xlfn.IFS(Table1[[#This Row],[Coupon frequency]]="Semi-annual",2,Table1[[#This Row],[Coupon frequency]]="Quarterly",4,Table1[[#This Row],[Coupon frequency]]="Annual",1,Table1[[#This Row],[Coupon frequency]]="Every 4 months",3,Table1[[#This Row],[Coupon frequency]]="Monthly",12)</f>
        <v>1</v>
      </c>
      <c r="T71">
        <f>Table1[[#This Row],[Term to Maturity (Years)]]*Table1[[#This Row],[Coupon Frequency2]]</f>
        <v>6</v>
      </c>
      <c r="U71">
        <f>Table1[[#This Row],[Face value]]*Table1[[#This Row],[Current coupon %]]/Table1[[#This Row],[Coupon Frequency2]]</f>
        <v>97500</v>
      </c>
      <c r="V71" s="23">
        <f>RATE(Table1[[#This Row],[Total No. of Coupons]],Table1[[#This Row],[Coupon Amount]],-Table1[[#This Row],[Ask Price]],Table1[[#This Row],[Face value]])</f>
        <v>0.12460465603586542</v>
      </c>
      <c r="W71" s="24">
        <f>Table1[[#This Row],[IRR]]*Table1[[#This Row],[Coupon Frequency2]]</f>
        <v>0.12460465603586542</v>
      </c>
      <c r="X71" s="25" cm="1">
        <f t="array" ref="X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1" s="26">
        <f>DURATION(Table1[[#This Row],[Issue date]],Table1[[#This Row],[Maturity date]],Table1[[#This Row],[Current coupon %]],Table1[[#This Row],[Yield (Annualised)]],Table1[[#This Row],[Coupon Frequency2]])</f>
        <v>4.2430736573512577</v>
      </c>
      <c r="Z71" s="26">
        <f>Table1[[#This Row],[Macaulay Duration in Years]]/(1+Table1[[#This Row],[IRR]])</f>
        <v>3.7729469059000054</v>
      </c>
      <c r="AA71" s="27">
        <f>VLOOKUP(Table1[[#This Row],[Yield Cluster]],'[1]Cluster Details'!$B$3:$C$16,2,0)</f>
        <v>0.11069942689191503</v>
      </c>
      <c r="AB71" s="28">
        <f>PRICE(Table1[[#This Row],[Issue date]],Table1[[#This Row],[Maturity date]],Table1[[#This Row],[Current coupon %]],Table1[[#This Row],[Average Cluster Yield]],100,Table1[[#This Row],[Coupon Frequency2]])*Table1[[#This Row],[Face value]]/100</f>
        <v>946376.68692729366</v>
      </c>
      <c r="AC71" s="27" t="str">
        <f>IF(Table1[[#This Row],[Ask Price]]&gt;Table1[[#This Row],[Calculated Bond Price]],"Rich","Cheap")</f>
        <v>Cheap</v>
      </c>
      <c r="AD71" s="28">
        <f>PRICE(Table1[[#This Row],[Issue date]],Table1[[#This Row],[Maturity date]],Table1[[#This Row],[Current coupon %]],Table1[[#This Row],[Yield (Annualised)]]+$AE$2,100,Table1[[#This Row],[Coupon Frequency2]])*Table1[[#This Row],[Face value]]/100</f>
        <v>860342.09767090681</v>
      </c>
      <c r="AE71" s="28">
        <f>PRICE(Table1[[#This Row],[Issue date]],Table1[[#This Row],[Maturity date]],Table1[[#This Row],[Current coupon %]],Table1[[#This Row],[Yield (Annualised)]]-$AE$2,100,Table1[[#This Row],[Coupon Frequency2]])*Table1[[#This Row],[Face value]]/100</f>
        <v>931556.12144959043</v>
      </c>
      <c r="AF71" s="28">
        <f>(Table1[[#This Row],[P (+ shock)]]+Table1[[#This Row],[P (-shock)]]-2*Table1[[#This Row],[Ask Price]])/(2*Table1[[#This Row],[Ask Price]]*($AE$2^2))</f>
        <v>66.843927643243532</v>
      </c>
    </row>
    <row r="72" spans="1:32" x14ac:dyDescent="0.25">
      <c r="A72" s="21" t="s">
        <v>238</v>
      </c>
      <c r="B72" s="3" t="s">
        <v>239</v>
      </c>
      <c r="C72" s="3" t="s">
        <v>19</v>
      </c>
      <c r="D72" s="4">
        <v>44637</v>
      </c>
      <c r="E72" s="4">
        <v>46462</v>
      </c>
      <c r="F72" s="3">
        <v>1000</v>
      </c>
      <c r="G72" s="3" t="s">
        <v>20</v>
      </c>
      <c r="H72" s="3">
        <v>1031.93</v>
      </c>
      <c r="I72" s="3" t="s">
        <v>20</v>
      </c>
      <c r="J72" s="3">
        <v>103.193</v>
      </c>
      <c r="K72" s="3">
        <v>200</v>
      </c>
      <c r="L72" s="5">
        <v>0.1125</v>
      </c>
      <c r="M72" s="3" t="s">
        <v>21</v>
      </c>
      <c r="N72" s="3">
        <v>545</v>
      </c>
      <c r="O72" s="6">
        <f>Table1[[#This Row],[Current coupon %]]*Table1[[#This Row],[Face value]]/Table1[[#This Row],[Ask Price]]</f>
        <v>0.10901902260812264</v>
      </c>
      <c r="P72" s="3"/>
      <c r="Q72" s="3" t="s">
        <v>22</v>
      </c>
      <c r="R72">
        <f t="shared" si="1"/>
        <v>5</v>
      </c>
      <c r="S72" s="22" cm="1">
        <f t="array" ref="S72">_xlfn.IFS(Table1[[#This Row],[Coupon frequency]]="Semi-annual",2,Table1[[#This Row],[Coupon frequency]]="Quarterly",4,Table1[[#This Row],[Coupon frequency]]="Annual",1,Table1[[#This Row],[Coupon frequency]]="Every 4 months",3,Table1[[#This Row],[Coupon frequency]]="Monthly",12)</f>
        <v>1</v>
      </c>
      <c r="T72">
        <f>Table1[[#This Row],[Term to Maturity (Years)]]*Table1[[#This Row],[Coupon Frequency2]]</f>
        <v>5</v>
      </c>
      <c r="U72">
        <f>Table1[[#This Row],[Face value]]*Table1[[#This Row],[Current coupon %]]/Table1[[#This Row],[Coupon Frequency2]]</f>
        <v>112.5</v>
      </c>
      <c r="V72" s="23">
        <f>RATE(Table1[[#This Row],[Total No. of Coupons]],Table1[[#This Row],[Coupon Amount]],-Table1[[#This Row],[Ask Price]],Table1[[#This Row],[Face value]])</f>
        <v>0.10399089813976621</v>
      </c>
      <c r="W72" s="24">
        <f>Table1[[#This Row],[IRR]]*Table1[[#This Row],[Coupon Frequency2]]</f>
        <v>0.10399089813976621</v>
      </c>
      <c r="X72" s="25" cm="1">
        <f t="array" ref="X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2" s="26">
        <f>DURATION(Table1[[#This Row],[Issue date]],Table1[[#This Row],[Maturity date]],Table1[[#This Row],[Current coupon %]],Table1[[#This Row],[Yield (Annualised)]],Table1[[#This Row],[Coupon Frequency2]])</f>
        <v>4.098442455991945</v>
      </c>
      <c r="Z72" s="26">
        <f>Table1[[#This Row],[Macaulay Duration in Years]]/(1+Table1[[#This Row],[IRR]])</f>
        <v>3.7123879036483496</v>
      </c>
      <c r="AA72" s="27">
        <f>VLOOKUP(Table1[[#This Row],[Yield Cluster]],'[1]Cluster Details'!$B$3:$C$16,2,0)</f>
        <v>0.11069942689191503</v>
      </c>
      <c r="AB72" s="28">
        <f>PRICE(Table1[[#This Row],[Issue date]],Table1[[#This Row],[Maturity date]],Table1[[#This Row],[Current coupon %]],Table1[[#This Row],[Average Cluster Yield]],100,Table1[[#This Row],[Coupon Frequency2]])*Table1[[#This Row],[Face value]]/100</f>
        <v>1006.624159615582</v>
      </c>
      <c r="AC72" s="27" t="str">
        <f>IF(Table1[[#This Row],[Ask Price]]&gt;Table1[[#This Row],[Calculated Bond Price]],"Rich","Cheap")</f>
        <v>Rich</v>
      </c>
      <c r="AD72" s="28">
        <f>PRICE(Table1[[#This Row],[Issue date]],Table1[[#This Row],[Maturity date]],Table1[[#This Row],[Current coupon %]],Table1[[#This Row],[Yield (Annualised)]]+$AE$2,100,Table1[[#This Row],[Coupon Frequency2]])*Table1[[#This Row],[Face value]]/100</f>
        <v>994.53043551821213</v>
      </c>
      <c r="AE72" s="28">
        <f>PRICE(Table1[[#This Row],[Issue date]],Table1[[#This Row],[Maturity date]],Table1[[#This Row],[Current coupon %]],Table1[[#This Row],[Yield (Annualised)]]-$AE$2,100,Table1[[#This Row],[Coupon Frequency2]])*Table1[[#This Row],[Face value]]/100</f>
        <v>1071.2094323669496</v>
      </c>
      <c r="AF72" s="28">
        <f>(Table1[[#This Row],[P (+ shock)]]+Table1[[#This Row],[P (-shock)]]-2*Table1[[#This Row],[Ask Price]])/(2*Table1[[#This Row],[Ask Price]]*($AE$2^2))</f>
        <v>9.1085048654546803</v>
      </c>
    </row>
    <row r="73" spans="1:32" x14ac:dyDescent="0.25">
      <c r="A73" s="21" t="s">
        <v>240</v>
      </c>
      <c r="B73" s="3" t="s">
        <v>241</v>
      </c>
      <c r="C73" s="3" t="s">
        <v>19</v>
      </c>
      <c r="D73" s="4">
        <v>45471</v>
      </c>
      <c r="E73" s="4">
        <v>48027</v>
      </c>
      <c r="F73" s="3">
        <v>100000</v>
      </c>
      <c r="G73" s="3" t="s">
        <v>20</v>
      </c>
      <c r="H73" s="3">
        <v>100999</v>
      </c>
      <c r="I73" s="3" t="s">
        <v>20</v>
      </c>
      <c r="J73" s="3">
        <v>100.999</v>
      </c>
      <c r="K73" s="3">
        <v>12</v>
      </c>
      <c r="L73" s="5">
        <v>0.11</v>
      </c>
      <c r="M73" s="3" t="s">
        <v>44</v>
      </c>
      <c r="N73" s="3">
        <v>2110</v>
      </c>
      <c r="O73" s="6">
        <f>Table1[[#This Row],[Current coupon %]]*Table1[[#This Row],[Face value]]/Table1[[#This Row],[Ask Price]]</f>
        <v>0.10891196942543986</v>
      </c>
      <c r="P73" s="3"/>
      <c r="Q73" s="3" t="s">
        <v>22</v>
      </c>
      <c r="R73">
        <f t="shared" si="1"/>
        <v>7</v>
      </c>
      <c r="S73" s="22" cm="1">
        <f t="array" ref="S73">_xlfn.IFS(Table1[[#This Row],[Coupon frequency]]="Semi-annual",2,Table1[[#This Row],[Coupon frequency]]="Quarterly",4,Table1[[#This Row],[Coupon frequency]]="Annual",1,Table1[[#This Row],[Coupon frequency]]="Every 4 months",3,Table1[[#This Row],[Coupon frequency]]="Monthly",12)</f>
        <v>4</v>
      </c>
      <c r="T73">
        <f>Table1[[#This Row],[Term to Maturity (Years)]]*Table1[[#This Row],[Coupon Frequency2]]</f>
        <v>28</v>
      </c>
      <c r="U73">
        <f>Table1[[#This Row],[Face value]]*Table1[[#This Row],[Current coupon %]]/Table1[[#This Row],[Coupon Frequency2]]</f>
        <v>2750</v>
      </c>
      <c r="V73" s="23">
        <f>RATE(Table1[[#This Row],[Total No. of Coupons]],Table1[[#This Row],[Coupon Amount]],-Table1[[#This Row],[Ask Price]],Table1[[#This Row],[Face value]])</f>
        <v>2.6987022748892038E-2</v>
      </c>
      <c r="W73" s="24">
        <f>Table1[[#This Row],[IRR]]*Table1[[#This Row],[Coupon Frequency2]]</f>
        <v>0.10794809099556815</v>
      </c>
      <c r="X73" s="25" cm="1">
        <f t="array" ref="X7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3" s="26">
        <f>DURATION(Table1[[#This Row],[Issue date]],Table1[[#This Row],[Maturity date]],Table1[[#This Row],[Current coupon %]],Table1[[#This Row],[Yield (Annualised)]],Table1[[#This Row],[Coupon Frequency2]])</f>
        <v>4.9821690245221975</v>
      </c>
      <c r="Z73" s="26">
        <f>Table1[[#This Row],[Macaulay Duration in Years]]/(1+Table1[[#This Row],[IRR]])</f>
        <v>4.8512482769126333</v>
      </c>
      <c r="AA73" s="27">
        <f>VLOOKUP(Table1[[#This Row],[Yield Cluster]],'[1]Cluster Details'!$B$3:$C$16,2,0)</f>
        <v>0.11069942689191503</v>
      </c>
      <c r="AB73" s="28">
        <f>PRICE(Table1[[#This Row],[Issue date]],Table1[[#This Row],[Maturity date]],Table1[[#This Row],[Current coupon %]],Table1[[#This Row],[Average Cluster Yield]],100,Table1[[#This Row],[Coupon Frequency2]])*Table1[[#This Row],[Face value]]/100</f>
        <v>99662.370594365377</v>
      </c>
      <c r="AC73" s="27" t="str">
        <f>IF(Table1[[#This Row],[Ask Price]]&gt;Table1[[#This Row],[Calculated Bond Price]],"Rich","Cheap")</f>
        <v>Rich</v>
      </c>
      <c r="AD73" s="28">
        <f>PRICE(Table1[[#This Row],[Issue date]],Table1[[#This Row],[Maturity date]],Table1[[#This Row],[Current coupon %]],Table1[[#This Row],[Yield (Annualised)]]+$AE$2,100,Table1[[#This Row],[Coupon Frequency2]])*Table1[[#This Row],[Face value]]/100</f>
        <v>96248.036212804538</v>
      </c>
      <c r="AE73" s="28">
        <f>PRICE(Table1[[#This Row],[Issue date]],Table1[[#This Row],[Maturity date]],Table1[[#This Row],[Current coupon %]],Table1[[#This Row],[Yield (Annualised)]]-$AE$2,100,Table1[[#This Row],[Coupon Frequency2]])*Table1[[#This Row],[Face value]]/100</f>
        <v>106054.39919479306</v>
      </c>
      <c r="AF73" s="28">
        <f>(Table1[[#This Row],[P (+ shock)]]+Table1[[#This Row],[P (-shock)]]-2*Table1[[#This Row],[Ask Price]])/(2*Table1[[#This Row],[Ask Price]]*($AE$2^2))</f>
        <v>15.07120900195055</v>
      </c>
    </row>
    <row r="74" spans="1:32" x14ac:dyDescent="0.25">
      <c r="A74" s="21" t="s">
        <v>242</v>
      </c>
      <c r="B74" s="3" t="s">
        <v>243</v>
      </c>
      <c r="C74" s="3" t="s">
        <v>19</v>
      </c>
      <c r="D74" s="4">
        <v>45560</v>
      </c>
      <c r="E74" s="4">
        <v>46655</v>
      </c>
      <c r="F74" s="3">
        <v>1000</v>
      </c>
      <c r="G74" s="3" t="s">
        <v>20</v>
      </c>
      <c r="H74" s="3">
        <v>909</v>
      </c>
      <c r="I74" s="3" t="s">
        <v>20</v>
      </c>
      <c r="J74" s="3">
        <v>90.9</v>
      </c>
      <c r="K74" s="3">
        <v>14</v>
      </c>
      <c r="L74" s="5">
        <v>9.9000000000000005E-2</v>
      </c>
      <c r="M74" s="3" t="s">
        <v>21</v>
      </c>
      <c r="N74" s="3">
        <v>738</v>
      </c>
      <c r="O74" s="6">
        <f>Table1[[#This Row],[Current coupon %]]*Table1[[#This Row],[Face value]]/Table1[[#This Row],[Ask Price]]</f>
        <v>0.10891089108910891</v>
      </c>
      <c r="P74" s="3" t="s">
        <v>25</v>
      </c>
      <c r="Q74" s="3" t="s">
        <v>22</v>
      </c>
      <c r="R74">
        <f t="shared" si="1"/>
        <v>3</v>
      </c>
      <c r="S74" s="22" cm="1">
        <f t="array" ref="S74">_xlfn.IFS(Table1[[#This Row],[Coupon frequency]]="Semi-annual",2,Table1[[#This Row],[Coupon frequency]]="Quarterly",4,Table1[[#This Row],[Coupon frequency]]="Annual",1,Table1[[#This Row],[Coupon frequency]]="Every 4 months",3,Table1[[#This Row],[Coupon frequency]]="Monthly",12)</f>
        <v>1</v>
      </c>
      <c r="T74">
        <f>Table1[[#This Row],[Term to Maturity (Years)]]*Table1[[#This Row],[Coupon Frequency2]]</f>
        <v>3</v>
      </c>
      <c r="U74">
        <f>Table1[[#This Row],[Face value]]*Table1[[#This Row],[Current coupon %]]/Table1[[#This Row],[Coupon Frequency2]]</f>
        <v>99</v>
      </c>
      <c r="V74" s="23">
        <f>RATE(Table1[[#This Row],[Total No. of Coupons]],Table1[[#This Row],[Coupon Amount]],-Table1[[#This Row],[Ask Price]],Table1[[#This Row],[Face value]])</f>
        <v>0.13806966566925133</v>
      </c>
      <c r="W74" s="24">
        <f>Table1[[#This Row],[IRR]]*Table1[[#This Row],[Coupon Frequency2]]</f>
        <v>0.13806966566925133</v>
      </c>
      <c r="X74" s="25" cm="1">
        <f t="array" ref="X7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4" s="26">
        <f>DURATION(Table1[[#This Row],[Issue date]],Table1[[#This Row],[Maturity date]],Table1[[#This Row],[Current coupon %]],Table1[[#This Row],[Yield (Annualised)]],Table1[[#This Row],[Coupon Frequency2]])</f>
        <v>2.7245162541737709</v>
      </c>
      <c r="Z74" s="26">
        <f>Table1[[#This Row],[Macaulay Duration in Years]]/(1+Table1[[#This Row],[IRR]])</f>
        <v>2.3939802073290446</v>
      </c>
      <c r="AA74" s="27">
        <f>VLOOKUP(Table1[[#This Row],[Yield Cluster]],'[1]Cluster Details'!$B$3:$C$16,2,0)</f>
        <v>0.11069942689191503</v>
      </c>
      <c r="AB74" s="28">
        <f>PRICE(Table1[[#This Row],[Issue date]],Table1[[#This Row],[Maturity date]],Table1[[#This Row],[Current coupon %]],Table1[[#This Row],[Average Cluster Yield]],100,Table1[[#This Row],[Coupon Frequency2]])*Table1[[#This Row],[Face value]]/100</f>
        <v>971.44468142083849</v>
      </c>
      <c r="AC74" s="27" t="str">
        <f>IF(Table1[[#This Row],[Ask Price]]&gt;Table1[[#This Row],[Calculated Bond Price]],"Rich","Cheap")</f>
        <v>Cheap</v>
      </c>
      <c r="AD74" s="28">
        <f>PRICE(Table1[[#This Row],[Issue date]],Table1[[#This Row],[Maturity date]],Table1[[#This Row],[Current coupon %]],Table1[[#This Row],[Yield (Annualised)]]+$AE$2,100,Table1[[#This Row],[Coupon Frequency2]])*Table1[[#This Row],[Face value]]/100</f>
        <v>887.60327068045763</v>
      </c>
      <c r="AE74" s="28">
        <f>PRICE(Table1[[#This Row],[Issue date]],Table1[[#This Row],[Maturity date]],Table1[[#This Row],[Current coupon %]],Table1[[#This Row],[Yield (Annualised)]]-$AE$2,100,Table1[[#This Row],[Coupon Frequency2]])*Table1[[#This Row],[Face value]]/100</f>
        <v>931.13648155112662</v>
      </c>
      <c r="AF74" s="28">
        <f>(Table1[[#This Row],[P (+ shock)]]+Table1[[#This Row],[P (-shock)]]-2*Table1[[#This Row],[Ask Price]])/(2*Table1[[#This Row],[Ask Price]]*($AE$2^2))</f>
        <v>4.0690441781305511</v>
      </c>
    </row>
    <row r="75" spans="1:32" x14ac:dyDescent="0.25">
      <c r="A75" s="21" t="s">
        <v>244</v>
      </c>
      <c r="B75" s="3" t="s">
        <v>245</v>
      </c>
      <c r="C75" s="3" t="s">
        <v>19</v>
      </c>
      <c r="D75" s="4">
        <v>45371</v>
      </c>
      <c r="E75" s="4">
        <v>47958</v>
      </c>
      <c r="F75" s="3">
        <v>100000</v>
      </c>
      <c r="G75" s="3" t="s">
        <v>20</v>
      </c>
      <c r="H75" s="3">
        <v>101998.66</v>
      </c>
      <c r="I75" s="3" t="s">
        <v>20</v>
      </c>
      <c r="J75" s="3">
        <v>101.99866</v>
      </c>
      <c r="K75" s="3">
        <v>6</v>
      </c>
      <c r="L75" s="5">
        <v>0.111</v>
      </c>
      <c r="M75" s="3" t="s">
        <v>53</v>
      </c>
      <c r="N75" s="3">
        <v>2041</v>
      </c>
      <c r="O75" s="6">
        <f>Table1[[#This Row],[Current coupon %]]*Table1[[#This Row],[Face value]]/Table1[[#This Row],[Ask Price]]</f>
        <v>0.10882495907299174</v>
      </c>
      <c r="P75" s="3"/>
      <c r="Q75" s="3" t="s">
        <v>22</v>
      </c>
      <c r="R75">
        <f t="shared" si="1"/>
        <v>7</v>
      </c>
      <c r="S75" s="22" cm="1">
        <f t="array" ref="S75">_xlfn.IFS(Table1[[#This Row],[Coupon frequency]]="Semi-annual",2,Table1[[#This Row],[Coupon frequency]]="Quarterly",4,Table1[[#This Row],[Coupon frequency]]="Annual",1,Table1[[#This Row],[Coupon frequency]]="Every 4 months",3,Table1[[#This Row],[Coupon frequency]]="Monthly",12)</f>
        <v>2</v>
      </c>
      <c r="T75">
        <f>Table1[[#This Row],[Term to Maturity (Years)]]*Table1[[#This Row],[Coupon Frequency2]]</f>
        <v>14</v>
      </c>
      <c r="U75">
        <f>Table1[[#This Row],[Face value]]*Table1[[#This Row],[Current coupon %]]/Table1[[#This Row],[Coupon Frequency2]]</f>
        <v>5550</v>
      </c>
      <c r="V75" s="23">
        <f>RATE(Table1[[#This Row],[Total No. of Coupons]],Table1[[#This Row],[Coupon Amount]],-Table1[[#This Row],[Ask Price]],Table1[[#This Row],[Face value]])</f>
        <v>5.3436271637198676E-2</v>
      </c>
      <c r="W75" s="24">
        <f>Table1[[#This Row],[IRR]]*Table1[[#This Row],[Coupon Frequency2]]</f>
        <v>0.10687254327439735</v>
      </c>
      <c r="X75" s="25" cm="1">
        <f t="array" ref="X7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5" s="26">
        <f>DURATION(Table1[[#This Row],[Issue date]],Table1[[#This Row],[Maturity date]],Table1[[#This Row],[Current coupon %]],Table1[[#This Row],[Yield (Annualised)]],Table1[[#This Row],[Coupon Frequency2]])</f>
        <v>4.8883025662521291</v>
      </c>
      <c r="Z75" s="26">
        <f>Table1[[#This Row],[Macaulay Duration in Years]]/(1+Table1[[#This Row],[IRR]])</f>
        <v>4.640340092576241</v>
      </c>
      <c r="AA75" s="27">
        <f>VLOOKUP(Table1[[#This Row],[Yield Cluster]],'[1]Cluster Details'!$B$3:$C$16,2,0)</f>
        <v>0.11069942689191503</v>
      </c>
      <c r="AB75" s="28">
        <f>PRICE(Table1[[#This Row],[Issue date]],Table1[[#This Row],[Maturity date]],Table1[[#This Row],[Current coupon %]],Table1[[#This Row],[Average Cluster Yield]],100,Table1[[#This Row],[Coupon Frequency2]])*Table1[[#This Row],[Face value]]/100</f>
        <v>100124.05771692574</v>
      </c>
      <c r="AC75" s="27" t="str">
        <f>IF(Table1[[#This Row],[Ask Price]]&gt;Table1[[#This Row],[Calculated Bond Price]],"Rich","Cheap")</f>
        <v>Rich</v>
      </c>
      <c r="AD75" s="28">
        <f>PRICE(Table1[[#This Row],[Issue date]],Table1[[#This Row],[Maturity date]],Table1[[#This Row],[Current coupon %]],Table1[[#This Row],[Yield (Annualised)]]+$AE$2,100,Table1[[#This Row],[Coupon Frequency2]])*Table1[[#This Row],[Face value]]/100</f>
        <v>97200.718049562754</v>
      </c>
      <c r="AE75" s="28">
        <f>PRICE(Table1[[#This Row],[Issue date]],Table1[[#This Row],[Maturity date]],Table1[[#This Row],[Current coupon %]],Table1[[#This Row],[Yield (Annualised)]]-$AE$2,100,Table1[[#This Row],[Coupon Frequency2]])*Table1[[#This Row],[Face value]]/100</f>
        <v>107103.2969327477</v>
      </c>
      <c r="AF75" s="28">
        <f>(Table1[[#This Row],[P (+ shock)]]+Table1[[#This Row],[P (-shock)]]-2*Table1[[#This Row],[Ask Price]])/(2*Table1[[#This Row],[Ask Price]]*($AE$2^2))</f>
        <v>15.034265269292067</v>
      </c>
    </row>
    <row r="76" spans="1:32" x14ac:dyDescent="0.25">
      <c r="A76" s="21" t="s">
        <v>246</v>
      </c>
      <c r="B76" s="3" t="s">
        <v>247</v>
      </c>
      <c r="C76" s="3" t="s">
        <v>19</v>
      </c>
      <c r="D76" s="4">
        <v>45411</v>
      </c>
      <c r="E76" s="4">
        <v>49063</v>
      </c>
      <c r="F76" s="3">
        <v>1000</v>
      </c>
      <c r="G76" s="3" t="s">
        <v>20</v>
      </c>
      <c r="H76" s="3">
        <v>965</v>
      </c>
      <c r="I76" s="3" t="s">
        <v>20</v>
      </c>
      <c r="J76" s="3">
        <v>96.5</v>
      </c>
      <c r="K76" s="3">
        <v>133</v>
      </c>
      <c r="L76" s="5">
        <v>0.1045</v>
      </c>
      <c r="M76" s="3" t="s">
        <v>21</v>
      </c>
      <c r="N76" s="3">
        <v>3146</v>
      </c>
      <c r="O76" s="6">
        <f>Table1[[#This Row],[Current coupon %]]*Table1[[#This Row],[Face value]]/Table1[[#This Row],[Ask Price]]</f>
        <v>0.10829015544041451</v>
      </c>
      <c r="P76" s="3"/>
      <c r="Q76" s="3" t="s">
        <v>22</v>
      </c>
      <c r="R76">
        <f t="shared" si="1"/>
        <v>10</v>
      </c>
      <c r="S76" s="22" cm="1">
        <f t="array" ref="S76">_xlfn.IFS(Table1[[#This Row],[Coupon frequency]]="Semi-annual",2,Table1[[#This Row],[Coupon frequency]]="Quarterly",4,Table1[[#This Row],[Coupon frequency]]="Annual",1,Table1[[#This Row],[Coupon frequency]]="Every 4 months",3,Table1[[#This Row],[Coupon frequency]]="Monthly",12)</f>
        <v>1</v>
      </c>
      <c r="T76">
        <f>Table1[[#This Row],[Term to Maturity (Years)]]*Table1[[#This Row],[Coupon Frequency2]]</f>
        <v>10</v>
      </c>
      <c r="U76">
        <f>Table1[[#This Row],[Face value]]*Table1[[#This Row],[Current coupon %]]/Table1[[#This Row],[Coupon Frequency2]]</f>
        <v>104.5</v>
      </c>
      <c r="V76" s="23">
        <f>RATE(Table1[[#This Row],[Total No. of Coupons]],Table1[[#This Row],[Coupon Amount]],-Table1[[#This Row],[Ask Price]],Table1[[#This Row],[Face value]])</f>
        <v>0.11045437770882011</v>
      </c>
      <c r="W76" s="24">
        <f>Table1[[#This Row],[IRR]]*Table1[[#This Row],[Coupon Frequency2]]</f>
        <v>0.11045437770882011</v>
      </c>
      <c r="X76" s="25" cm="1">
        <f t="array" ref="X7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6" s="26">
        <f>DURATION(Table1[[#This Row],[Issue date]],Table1[[#This Row],[Maturity date]],Table1[[#This Row],[Current coupon %]],Table1[[#This Row],[Yield (Annualised)]],Table1[[#This Row],[Coupon Frequency2]])</f>
        <v>6.5953259106698283</v>
      </c>
      <c r="Z76" s="26">
        <f>Table1[[#This Row],[Macaulay Duration in Years]]/(1+Table1[[#This Row],[IRR]])</f>
        <v>5.939303804878362</v>
      </c>
      <c r="AA76" s="27">
        <f>VLOOKUP(Table1[[#This Row],[Yield Cluster]],'[1]Cluster Details'!$B$3:$C$16,2,0)</f>
        <v>0.11069942689191503</v>
      </c>
      <c r="AB76" s="28">
        <f>PRICE(Table1[[#This Row],[Issue date]],Table1[[#This Row],[Maturity date]],Table1[[#This Row],[Current coupon %]],Table1[[#This Row],[Average Cluster Yield]],100,Table1[[#This Row],[Coupon Frequency2]])*Table1[[#This Row],[Face value]]/100</f>
        <v>963.59696641729215</v>
      </c>
      <c r="AC76" s="27" t="str">
        <f>IF(Table1[[#This Row],[Ask Price]]&gt;Table1[[#This Row],[Calculated Bond Price]],"Rich","Cheap")</f>
        <v>Rich</v>
      </c>
      <c r="AD76" s="28">
        <f>PRICE(Table1[[#This Row],[Issue date]],Table1[[#This Row],[Maturity date]],Table1[[#This Row],[Current coupon %]],Table1[[#This Row],[Yield (Annualised)]]+$AE$2,100,Table1[[#This Row],[Coupon Frequency2]])*Table1[[#This Row],[Face value]]/100</f>
        <v>910.02162889278861</v>
      </c>
      <c r="AE76" s="28">
        <f>PRICE(Table1[[#This Row],[Issue date]],Table1[[#This Row],[Maturity date]],Table1[[#This Row],[Current coupon %]],Table1[[#This Row],[Yield (Annualised)]]-$AE$2,100,Table1[[#This Row],[Coupon Frequency2]])*Table1[[#This Row],[Face value]]/100</f>
        <v>1024.8101489428786</v>
      </c>
      <c r="AF76" s="28">
        <f>(Table1[[#This Row],[P (+ shock)]]+Table1[[#This Row],[P (-shock)]]-2*Table1[[#This Row],[Ask Price]])/(2*Table1[[#This Row],[Ask Price]]*($AE$2^2))</f>
        <v>25.035118319519448</v>
      </c>
    </row>
    <row r="77" spans="1:32" x14ac:dyDescent="0.25">
      <c r="A77" s="21" t="s">
        <v>248</v>
      </c>
      <c r="B77" s="3" t="s">
        <v>249</v>
      </c>
      <c r="C77" s="3" t="s">
        <v>19</v>
      </c>
      <c r="D77" s="4">
        <v>45274</v>
      </c>
      <c r="E77" s="4">
        <v>46003</v>
      </c>
      <c r="F77" s="3">
        <v>1000</v>
      </c>
      <c r="G77" s="3" t="s">
        <v>20</v>
      </c>
      <c r="H77" s="3">
        <v>1082</v>
      </c>
      <c r="I77" s="3" t="s">
        <v>20</v>
      </c>
      <c r="J77" s="3">
        <v>108.2</v>
      </c>
      <c r="K77" s="3">
        <v>1</v>
      </c>
      <c r="L77" s="5">
        <v>0.11749999999999999</v>
      </c>
      <c r="M77" s="3" t="s">
        <v>21</v>
      </c>
      <c r="N77" s="3">
        <v>86</v>
      </c>
      <c r="O77" s="6">
        <f>Table1[[#This Row],[Current coupon %]]*Table1[[#This Row],[Face value]]/Table1[[#This Row],[Ask Price]]</f>
        <v>0.10859519408502773</v>
      </c>
      <c r="P77" s="3"/>
      <c r="Q77" s="3" t="s">
        <v>22</v>
      </c>
      <c r="R77">
        <f t="shared" si="1"/>
        <v>2</v>
      </c>
      <c r="S77" s="22" cm="1">
        <f t="array" ref="S77">_xlfn.IFS(Table1[[#This Row],[Coupon frequency]]="Semi-annual",2,Table1[[#This Row],[Coupon frequency]]="Quarterly",4,Table1[[#This Row],[Coupon frequency]]="Annual",1,Table1[[#This Row],[Coupon frequency]]="Every 4 months",3,Table1[[#This Row],[Coupon frequency]]="Monthly",12)</f>
        <v>1</v>
      </c>
      <c r="T77">
        <f>Table1[[#This Row],[Term to Maturity (Years)]]*Table1[[#This Row],[Coupon Frequency2]]</f>
        <v>2</v>
      </c>
      <c r="U77">
        <f>Table1[[#This Row],[Face value]]*Table1[[#This Row],[Current coupon %]]/Table1[[#This Row],[Coupon Frequency2]]</f>
        <v>117.5</v>
      </c>
      <c r="V77" s="23">
        <f>RATE(Table1[[#This Row],[Total No. of Coupons]],Table1[[#This Row],[Coupon Amount]],-Table1[[#This Row],[Ask Price]],Table1[[#This Row],[Face value]])</f>
        <v>7.201948482647097E-2</v>
      </c>
      <c r="W77" s="24">
        <f>Table1[[#This Row],[IRR]]*Table1[[#This Row],[Coupon Frequency2]]</f>
        <v>7.201948482647097E-2</v>
      </c>
      <c r="X77" s="25" cm="1">
        <f t="array" ref="X7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7" s="26">
        <f>DURATION(Table1[[#This Row],[Issue date]],Table1[[#This Row],[Maturity date]],Table1[[#This Row],[Current coupon %]],Table1[[#This Row],[Yield (Annualised)]],Table1[[#This Row],[Coupon Frequency2]])</f>
        <v>1.8931447986617873</v>
      </c>
      <c r="Z77" s="26">
        <f>Table1[[#This Row],[Macaulay Duration in Years]]/(1+Table1[[#This Row],[IRR]])</f>
        <v>1.765961183968809</v>
      </c>
      <c r="AA77" s="27">
        <f>VLOOKUP(Table1[[#This Row],[Yield Cluster]],'[1]Cluster Details'!$B$3:$C$16,2,0)</f>
        <v>7.8548801574189142E-2</v>
      </c>
      <c r="AB77" s="28">
        <f>PRICE(Table1[[#This Row],[Issue date]],Table1[[#This Row],[Maturity date]],Table1[[#This Row],[Current coupon %]],Table1[[#This Row],[Average Cluster Yield]],100,Table1[[#This Row],[Coupon Frequency2]])*Table1[[#This Row],[Face value]]/100</f>
        <v>1069.3953971994576</v>
      </c>
      <c r="AC77" s="27" t="str">
        <f>IF(Table1[[#This Row],[Ask Price]]&gt;Table1[[#This Row],[Calculated Bond Price]],"Rich","Cheap")</f>
        <v>Rich</v>
      </c>
      <c r="AD77" s="28">
        <f>PRICE(Table1[[#This Row],[Issue date]],Table1[[#This Row],[Maturity date]],Table1[[#This Row],[Current coupon %]],Table1[[#This Row],[Yield (Annualised)]]+$AE$2,100,Table1[[#This Row],[Coupon Frequency2]])*Table1[[#This Row],[Face value]]/100</f>
        <v>1062.9092911137832</v>
      </c>
      <c r="AE77" s="28">
        <f>PRICE(Table1[[#This Row],[Issue date]],Table1[[#This Row],[Maturity date]],Table1[[#This Row],[Current coupon %]],Table1[[#This Row],[Yield (Annualised)]]-$AE$2,100,Table1[[#This Row],[Coupon Frequency2]])*Table1[[#This Row],[Face value]]/100</f>
        <v>1101.1459145779697</v>
      </c>
      <c r="AF77" s="28">
        <f>(Table1[[#This Row],[P (+ shock)]]+Table1[[#This Row],[P (-shock)]]-2*Table1[[#This Row],[Ask Price]])/(2*Table1[[#This Row],[Ask Price]]*($AE$2^2))</f>
        <v>0.25510948129918898</v>
      </c>
    </row>
    <row r="78" spans="1:32" x14ac:dyDescent="0.25">
      <c r="A78" s="21" t="s">
        <v>250</v>
      </c>
      <c r="B78" s="3" t="s">
        <v>251</v>
      </c>
      <c r="C78" s="3" t="s">
        <v>19</v>
      </c>
      <c r="D78" s="4">
        <v>40759</v>
      </c>
      <c r="E78" s="4">
        <v>46238</v>
      </c>
      <c r="F78" s="3">
        <v>1000000</v>
      </c>
      <c r="G78" s="3" t="s">
        <v>20</v>
      </c>
      <c r="H78" s="3">
        <v>1000000</v>
      </c>
      <c r="I78" s="3" t="s">
        <v>20</v>
      </c>
      <c r="J78" s="3">
        <v>100</v>
      </c>
      <c r="K78" s="3">
        <v>3</v>
      </c>
      <c r="L78" s="5">
        <v>0.1085</v>
      </c>
      <c r="M78" s="3" t="s">
        <v>53</v>
      </c>
      <c r="N78" s="3">
        <v>321</v>
      </c>
      <c r="O78" s="6">
        <f>Table1[[#This Row],[Current coupon %]]*Table1[[#This Row],[Face value]]/Table1[[#This Row],[Ask Price]]</f>
        <v>0.1085</v>
      </c>
      <c r="P78" s="3"/>
      <c r="Q78" s="3" t="s">
        <v>22</v>
      </c>
      <c r="R78">
        <f t="shared" si="1"/>
        <v>15</v>
      </c>
      <c r="S78" s="22" cm="1">
        <f t="array" ref="S78">_xlfn.IFS(Table1[[#This Row],[Coupon frequency]]="Semi-annual",2,Table1[[#This Row],[Coupon frequency]]="Quarterly",4,Table1[[#This Row],[Coupon frequency]]="Annual",1,Table1[[#This Row],[Coupon frequency]]="Every 4 months",3,Table1[[#This Row],[Coupon frequency]]="Monthly",12)</f>
        <v>2</v>
      </c>
      <c r="T78">
        <f>Table1[[#This Row],[Term to Maturity (Years)]]*Table1[[#This Row],[Coupon Frequency2]]</f>
        <v>30</v>
      </c>
      <c r="U78">
        <f>Table1[[#This Row],[Face value]]*Table1[[#This Row],[Current coupon %]]/Table1[[#This Row],[Coupon Frequency2]]</f>
        <v>54250</v>
      </c>
      <c r="V78" s="23">
        <f>RATE(Table1[[#This Row],[Total No. of Coupons]],Table1[[#This Row],[Coupon Amount]],-Table1[[#This Row],[Ask Price]],Table1[[#This Row],[Face value]])</f>
        <v>5.4250000000001346E-2</v>
      </c>
      <c r="W78" s="24">
        <f>Table1[[#This Row],[IRR]]*Table1[[#This Row],[Coupon Frequency2]]</f>
        <v>0.10850000000000269</v>
      </c>
      <c r="X78" s="25" cm="1">
        <f t="array" ref="X7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8" s="26">
        <f>DURATION(Table1[[#This Row],[Issue date]],Table1[[#This Row],[Maturity date]],Table1[[#This Row],[Current coupon %]],Table1[[#This Row],[Yield (Annualised)]],Table1[[#This Row],[Coupon Frequency2]])</f>
        <v>7.7249739796251706</v>
      </c>
      <c r="Z78" s="26">
        <f>Table1[[#This Row],[Macaulay Duration in Years]]/(1+Table1[[#This Row],[IRR]])</f>
        <v>7.3274593119517775</v>
      </c>
      <c r="AA78" s="27">
        <f>VLOOKUP(Table1[[#This Row],[Yield Cluster]],'[1]Cluster Details'!$B$3:$C$16,2,0)</f>
        <v>0.11069942689191503</v>
      </c>
      <c r="AB78" s="28">
        <f>PRICE(Table1[[#This Row],[Issue date]],Table1[[#This Row],[Maturity date]],Table1[[#This Row],[Current coupon %]],Table1[[#This Row],[Average Cluster Yield]],100,Table1[[#This Row],[Coupon Frequency2]])*Table1[[#This Row],[Face value]]/100</f>
        <v>984078.58886872395</v>
      </c>
      <c r="AC78" s="27" t="str">
        <f>IF(Table1[[#This Row],[Ask Price]]&gt;Table1[[#This Row],[Calculated Bond Price]],"Rich","Cheap")</f>
        <v>Rich</v>
      </c>
      <c r="AD78" s="28">
        <f>PRICE(Table1[[#This Row],[Issue date]],Table1[[#This Row],[Maturity date]],Table1[[#This Row],[Current coupon %]],Table1[[#This Row],[Yield (Annualised)]]+$AE$2,100,Table1[[#This Row],[Coupon Frequency2]])*Table1[[#This Row],[Face value]]/100</f>
        <v>930619.9749834775</v>
      </c>
      <c r="AE78" s="28">
        <f>PRICE(Table1[[#This Row],[Issue date]],Table1[[#This Row],[Maturity date]],Table1[[#This Row],[Current coupon %]],Table1[[#This Row],[Yield (Annualised)]]-$AE$2,100,Table1[[#This Row],[Coupon Frequency2]])*Table1[[#This Row],[Face value]]/100</f>
        <v>1077523.7715055179</v>
      </c>
      <c r="AF78" s="28">
        <f>(Table1[[#This Row],[P (+ shock)]]+Table1[[#This Row],[P (-shock)]]-2*Table1[[#This Row],[Ask Price]])/(2*Table1[[#This Row],[Ask Price]]*($AE$2^2))</f>
        <v>40.718732444976922</v>
      </c>
    </row>
    <row r="79" spans="1:32" x14ac:dyDescent="0.25">
      <c r="A79" s="21" t="s">
        <v>252</v>
      </c>
      <c r="B79" s="3" t="s">
        <v>253</v>
      </c>
      <c r="C79" s="3" t="s">
        <v>19</v>
      </c>
      <c r="D79" s="4">
        <v>45702</v>
      </c>
      <c r="E79" s="4">
        <v>46783</v>
      </c>
      <c r="F79" s="3">
        <v>100000</v>
      </c>
      <c r="G79" s="3" t="s">
        <v>20</v>
      </c>
      <c r="H79" s="3">
        <v>99774.73</v>
      </c>
      <c r="I79" s="3" t="s">
        <v>20</v>
      </c>
      <c r="J79" s="3">
        <v>99.774730000000005</v>
      </c>
      <c r="K79" s="3">
        <v>1</v>
      </c>
      <c r="L79" s="5">
        <v>0.1081</v>
      </c>
      <c r="M79" s="3" t="s">
        <v>44</v>
      </c>
      <c r="N79" s="3">
        <v>866</v>
      </c>
      <c r="O79" s="6">
        <f>Table1[[#This Row],[Current coupon %]]*Table1[[#This Row],[Face value]]/Table1[[#This Row],[Ask Price]]</f>
        <v>0.10834406667900781</v>
      </c>
      <c r="P79" s="3"/>
      <c r="Q79" s="3" t="s">
        <v>22</v>
      </c>
      <c r="R79">
        <f t="shared" si="1"/>
        <v>3</v>
      </c>
      <c r="S79" s="22" cm="1">
        <f t="array" ref="S79">_xlfn.IFS(Table1[[#This Row],[Coupon frequency]]="Semi-annual",2,Table1[[#This Row],[Coupon frequency]]="Quarterly",4,Table1[[#This Row],[Coupon frequency]]="Annual",1,Table1[[#This Row],[Coupon frequency]]="Every 4 months",3,Table1[[#This Row],[Coupon frequency]]="Monthly",12)</f>
        <v>4</v>
      </c>
      <c r="T79">
        <f>Table1[[#This Row],[Term to Maturity (Years)]]*Table1[[#This Row],[Coupon Frequency2]]</f>
        <v>12</v>
      </c>
      <c r="U79">
        <f>Table1[[#This Row],[Face value]]*Table1[[#This Row],[Current coupon %]]/Table1[[#This Row],[Coupon Frequency2]]</f>
        <v>2702.5</v>
      </c>
      <c r="V79" s="23">
        <f>RATE(Table1[[#This Row],[Total No. of Coupons]],Table1[[#This Row],[Coupon Amount]],-Table1[[#This Row],[Ask Price]],Table1[[#This Row],[Face value]])</f>
        <v>2.7247608655926691E-2</v>
      </c>
      <c r="W79" s="24">
        <f>Table1[[#This Row],[IRR]]*Table1[[#This Row],[Coupon Frequency2]]</f>
        <v>0.10899043462370676</v>
      </c>
      <c r="X79" s="25" cm="1">
        <f t="array" ref="X7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79" s="26">
        <f>DURATION(Table1[[#This Row],[Issue date]],Table1[[#This Row],[Maturity date]],Table1[[#This Row],[Current coupon %]],Table1[[#This Row],[Yield (Annualised)]],Table1[[#This Row],[Coupon Frequency2]])</f>
        <v>2.562311849497998</v>
      </c>
      <c r="Z79" s="26">
        <f>Table1[[#This Row],[Macaulay Duration in Years]]/(1+Table1[[#This Row],[IRR]])</f>
        <v>2.4943468623407972</v>
      </c>
      <c r="AA79" s="27">
        <f>VLOOKUP(Table1[[#This Row],[Yield Cluster]],'[1]Cluster Details'!$B$3:$C$16,2,0)</f>
        <v>0.11069942689191503</v>
      </c>
      <c r="AB79" s="28">
        <f>PRICE(Table1[[#This Row],[Issue date]],Table1[[#This Row],[Maturity date]],Table1[[#This Row],[Current coupon %]],Table1[[#This Row],[Average Cluster Yield]],100,Table1[[#This Row],[Coupon Frequency2]])*Table1[[#This Row],[Face value]]/100</f>
        <v>99346.432394188771</v>
      </c>
      <c r="AC79" s="27" t="str">
        <f>IF(Table1[[#This Row],[Ask Price]]&gt;Table1[[#This Row],[Calculated Bond Price]],"Rich","Cheap")</f>
        <v>Rich</v>
      </c>
      <c r="AD79" s="28">
        <f>PRICE(Table1[[#This Row],[Issue date]],Table1[[#This Row],[Maturity date]],Table1[[#This Row],[Current coupon %]],Table1[[#This Row],[Yield (Annualised)]]+$AE$2,100,Table1[[#This Row],[Coupon Frequency2]])*Table1[[#This Row],[Face value]]/100</f>
        <v>97310.065683126857</v>
      </c>
      <c r="AE79" s="28">
        <f>PRICE(Table1[[#This Row],[Issue date]],Table1[[#This Row],[Maturity date]],Table1[[#This Row],[Current coupon %]],Table1[[#This Row],[Yield (Annualised)]]-$AE$2,100,Table1[[#This Row],[Coupon Frequency2]])*Table1[[#This Row],[Face value]]/100</f>
        <v>102309.19415100569</v>
      </c>
      <c r="AF79" s="28">
        <f>(Table1[[#This Row],[P (+ shock)]]+Table1[[#This Row],[P (-shock)]]-2*Table1[[#This Row],[Ask Price]])/(2*Table1[[#This Row],[Ask Price]]*($AE$2^2))</f>
        <v>3.4978713614445698</v>
      </c>
    </row>
    <row r="80" spans="1:32" x14ac:dyDescent="0.25">
      <c r="A80" s="21" t="s">
        <v>254</v>
      </c>
      <c r="B80" s="3" t="s">
        <v>217</v>
      </c>
      <c r="C80" s="3" t="s">
        <v>19</v>
      </c>
      <c r="D80" s="4">
        <v>45681</v>
      </c>
      <c r="E80" s="4">
        <v>49333</v>
      </c>
      <c r="F80" s="3">
        <v>1000</v>
      </c>
      <c r="G80" s="3" t="s">
        <v>20</v>
      </c>
      <c r="H80" s="3">
        <v>1000</v>
      </c>
      <c r="I80" s="3" t="s">
        <v>20</v>
      </c>
      <c r="J80" s="3">
        <v>100</v>
      </c>
      <c r="K80" s="3">
        <v>325</v>
      </c>
      <c r="L80" s="5">
        <v>0.11</v>
      </c>
      <c r="M80" s="3" t="s">
        <v>21</v>
      </c>
      <c r="N80" s="3">
        <v>3416</v>
      </c>
      <c r="O80" s="6">
        <f>Table1[[#This Row],[Current coupon %]]*Table1[[#This Row],[Face value]]/Table1[[#This Row],[Ask Price]]</f>
        <v>0.11</v>
      </c>
      <c r="P80" s="3"/>
      <c r="Q80" s="3" t="s">
        <v>22</v>
      </c>
      <c r="R80">
        <f t="shared" si="1"/>
        <v>10</v>
      </c>
      <c r="S80" s="22" cm="1">
        <f t="array" ref="S80">_xlfn.IFS(Table1[[#This Row],[Coupon frequency]]="Semi-annual",2,Table1[[#This Row],[Coupon frequency]]="Quarterly",4,Table1[[#This Row],[Coupon frequency]]="Annual",1,Table1[[#This Row],[Coupon frequency]]="Every 4 months",3,Table1[[#This Row],[Coupon frequency]]="Monthly",12)</f>
        <v>1</v>
      </c>
      <c r="T80">
        <f>Table1[[#This Row],[Term to Maturity (Years)]]*Table1[[#This Row],[Coupon Frequency2]]</f>
        <v>10</v>
      </c>
      <c r="U80">
        <f>Table1[[#This Row],[Face value]]*Table1[[#This Row],[Current coupon %]]/Table1[[#This Row],[Coupon Frequency2]]</f>
        <v>110</v>
      </c>
      <c r="V80" s="23">
        <f>RATE(Table1[[#This Row],[Total No. of Coupons]],Table1[[#This Row],[Coupon Amount]],-Table1[[#This Row],[Ask Price]],Table1[[#This Row],[Face value]])</f>
        <v>0.10999999999999997</v>
      </c>
      <c r="W80" s="24">
        <f>Table1[[#This Row],[IRR]]*Table1[[#This Row],[Coupon Frequency2]]</f>
        <v>0.10999999999999997</v>
      </c>
      <c r="X80" s="25" cm="1">
        <f t="array" ref="X8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0" s="26">
        <f>DURATION(Table1[[#This Row],[Issue date]],Table1[[#This Row],[Maturity date]],Table1[[#This Row],[Current coupon %]],Table1[[#This Row],[Yield (Annualised)]],Table1[[#This Row],[Coupon Frequency2]])</f>
        <v>6.5370475323667412</v>
      </c>
      <c r="Z80" s="26">
        <f>Table1[[#This Row],[Macaulay Duration in Years]]/(1+Table1[[#This Row],[IRR]])</f>
        <v>5.8892320111412086</v>
      </c>
      <c r="AA80" s="27">
        <f>VLOOKUP(Table1[[#This Row],[Yield Cluster]],'[1]Cluster Details'!$B$3:$C$16,2,0)</f>
        <v>0.11069942689191503</v>
      </c>
      <c r="AB80" s="28">
        <f>PRICE(Table1[[#This Row],[Issue date]],Table1[[#This Row],[Maturity date]],Table1[[#This Row],[Current coupon %]],Table1[[#This Row],[Average Cluster Yield]],100,Table1[[#This Row],[Coupon Frequency2]])*Table1[[#This Row],[Face value]]/100</f>
        <v>995.89296541778106</v>
      </c>
      <c r="AC80" s="27" t="str">
        <f>IF(Table1[[#This Row],[Ask Price]]&gt;Table1[[#This Row],[Calculated Bond Price]],"Rich","Cheap")</f>
        <v>Rich</v>
      </c>
      <c r="AD80" s="28">
        <f>PRICE(Table1[[#This Row],[Issue date]],Table1[[#This Row],[Maturity date]],Table1[[#This Row],[Current coupon %]],Table1[[#This Row],[Yield (Annualised)]]+$AE$2,100,Table1[[#This Row],[Coupon Frequency2]])*Table1[[#This Row],[Face value]]/100</f>
        <v>943.49776971589188</v>
      </c>
      <c r="AE80" s="28">
        <f>PRICE(Table1[[#This Row],[Issue date]],Table1[[#This Row],[Maturity date]],Table1[[#This Row],[Current coupon %]],Table1[[#This Row],[Yield (Annualised)]]-$AE$2,100,Table1[[#This Row],[Coupon Frequency2]])*Table1[[#This Row],[Face value]]/100</f>
        <v>1061.4456710570464</v>
      </c>
      <c r="AF80" s="28">
        <f>(Table1[[#This Row],[P (+ shock)]]+Table1[[#This Row],[P (-shock)]]-2*Table1[[#This Row],[Ask Price]])/(2*Table1[[#This Row],[Ask Price]]*($AE$2^2))</f>
        <v>24.717203864690873</v>
      </c>
    </row>
    <row r="81" spans="1:32" x14ac:dyDescent="0.25">
      <c r="A81" s="21" t="s">
        <v>255</v>
      </c>
      <c r="B81" s="3" t="s">
        <v>229</v>
      </c>
      <c r="C81" s="3" t="s">
        <v>19</v>
      </c>
      <c r="D81" s="4">
        <v>45862</v>
      </c>
      <c r="E81" s="4">
        <v>49514</v>
      </c>
      <c r="F81" s="3">
        <v>1000</v>
      </c>
      <c r="G81" s="3" t="s">
        <v>20</v>
      </c>
      <c r="H81" s="3">
        <v>970</v>
      </c>
      <c r="I81" s="3" t="s">
        <v>20</v>
      </c>
      <c r="J81" s="3">
        <v>97</v>
      </c>
      <c r="K81" s="3">
        <v>1</v>
      </c>
      <c r="L81" s="5">
        <v>0.105</v>
      </c>
      <c r="M81" s="3" t="s">
        <v>21</v>
      </c>
      <c r="N81" s="3">
        <v>3597</v>
      </c>
      <c r="O81" s="6">
        <f>Table1[[#This Row],[Current coupon %]]*Table1[[#This Row],[Face value]]/Table1[[#This Row],[Ask Price]]</f>
        <v>0.10824742268041238</v>
      </c>
      <c r="P81" s="3"/>
      <c r="Q81" s="3" t="s">
        <v>22</v>
      </c>
      <c r="R81">
        <f t="shared" si="1"/>
        <v>10</v>
      </c>
      <c r="S81" s="22" cm="1">
        <f t="array" ref="S81">_xlfn.IFS(Table1[[#This Row],[Coupon frequency]]="Semi-annual",2,Table1[[#This Row],[Coupon frequency]]="Quarterly",4,Table1[[#This Row],[Coupon frequency]]="Annual",1,Table1[[#This Row],[Coupon frequency]]="Every 4 months",3,Table1[[#This Row],[Coupon frequency]]="Monthly",12)</f>
        <v>1</v>
      </c>
      <c r="T81">
        <f>Table1[[#This Row],[Term to Maturity (Years)]]*Table1[[#This Row],[Coupon Frequency2]]</f>
        <v>10</v>
      </c>
      <c r="U81">
        <f>Table1[[#This Row],[Face value]]*Table1[[#This Row],[Current coupon %]]/Table1[[#This Row],[Coupon Frequency2]]</f>
        <v>105</v>
      </c>
      <c r="V81" s="23">
        <f>RATE(Table1[[#This Row],[Total No. of Coupons]],Table1[[#This Row],[Coupon Amount]],-Table1[[#This Row],[Ask Price]],Table1[[#This Row],[Face value]])</f>
        <v>0.11009609560729074</v>
      </c>
      <c r="W81" s="24">
        <f>Table1[[#This Row],[IRR]]*Table1[[#This Row],[Coupon Frequency2]]</f>
        <v>0.11009609560729074</v>
      </c>
      <c r="X81" s="25" cm="1">
        <f t="array" ref="X8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1" s="26">
        <f>DURATION(Table1[[#This Row],[Issue date]],Table1[[#This Row],[Maturity date]],Table1[[#This Row],[Current coupon %]],Table1[[#This Row],[Yield (Annualised)]],Table1[[#This Row],[Coupon Frequency2]])</f>
        <v>6.593162704437538</v>
      </c>
      <c r="Z81" s="26">
        <f>Table1[[#This Row],[Macaulay Duration in Years]]/(1+Table1[[#This Row],[IRR]])</f>
        <v>5.9392720418773051</v>
      </c>
      <c r="AA81" s="27">
        <f>VLOOKUP(Table1[[#This Row],[Yield Cluster]],'[1]Cluster Details'!$B$3:$C$16,2,0)</f>
        <v>0.11069942689191503</v>
      </c>
      <c r="AB81" s="28">
        <f>PRICE(Table1[[#This Row],[Issue date]],Table1[[#This Row],[Maturity date]],Table1[[#This Row],[Current coupon %]],Table1[[#This Row],[Average Cluster Yield]],100,Table1[[#This Row],[Coupon Frequency2]])*Table1[[#This Row],[Face value]]/100</f>
        <v>966.53296632642775</v>
      </c>
      <c r="AC81" s="27" t="str">
        <f>IF(Table1[[#This Row],[Ask Price]]&gt;Table1[[#This Row],[Calculated Bond Price]],"Rich","Cheap")</f>
        <v>Rich</v>
      </c>
      <c r="AD81" s="28">
        <f>PRICE(Table1[[#This Row],[Issue date]],Table1[[#This Row],[Maturity date]],Table1[[#This Row],[Current coupon %]],Table1[[#This Row],[Yield (Annualised)]]+$AE$2,100,Table1[[#This Row],[Coupon Frequency2]])*Table1[[#This Row],[Face value]]/100</f>
        <v>914.73723478792658</v>
      </c>
      <c r="AE81" s="28">
        <f>PRICE(Table1[[#This Row],[Issue date]],Table1[[#This Row],[Maturity date]],Table1[[#This Row],[Current coupon %]],Table1[[#This Row],[Yield (Annualised)]]-$AE$2,100,Table1[[#This Row],[Coupon Frequency2]])*Table1[[#This Row],[Face value]]/100</f>
        <v>1030.119934556921</v>
      </c>
      <c r="AF81" s="28">
        <f>(Table1[[#This Row],[P (+ shock)]]+Table1[[#This Row],[P (-shock)]]-2*Table1[[#This Row],[Ask Price]])/(2*Table1[[#This Row],[Ask Price]]*($AE$2^2))</f>
        <v>25.036955385812032</v>
      </c>
    </row>
    <row r="82" spans="1:32" x14ac:dyDescent="0.25">
      <c r="A82" s="21" t="s">
        <v>256</v>
      </c>
      <c r="B82" s="3" t="s">
        <v>199</v>
      </c>
      <c r="C82" s="3" t="s">
        <v>19</v>
      </c>
      <c r="D82" s="4">
        <v>45499</v>
      </c>
      <c r="E82" s="4">
        <v>49151</v>
      </c>
      <c r="F82" s="3">
        <v>1000</v>
      </c>
      <c r="G82" s="3" t="s">
        <v>20</v>
      </c>
      <c r="H82" s="3">
        <v>1001</v>
      </c>
      <c r="I82" s="3" t="s">
        <v>20</v>
      </c>
      <c r="J82" s="3">
        <v>100.1</v>
      </c>
      <c r="K82" s="3">
        <v>300</v>
      </c>
      <c r="L82" s="5">
        <v>0.11</v>
      </c>
      <c r="M82" s="3" t="s">
        <v>21</v>
      </c>
      <c r="N82" s="3">
        <v>3234</v>
      </c>
      <c r="O82" s="6">
        <f>Table1[[#This Row],[Current coupon %]]*Table1[[#This Row],[Face value]]/Table1[[#This Row],[Ask Price]]</f>
        <v>0.10989010989010989</v>
      </c>
      <c r="P82" s="3"/>
      <c r="Q82" s="3" t="s">
        <v>22</v>
      </c>
      <c r="R82">
        <f t="shared" si="1"/>
        <v>10</v>
      </c>
      <c r="S82" s="22" cm="1">
        <f t="array" ref="S82">_xlfn.IFS(Table1[[#This Row],[Coupon frequency]]="Semi-annual",2,Table1[[#This Row],[Coupon frequency]]="Quarterly",4,Table1[[#This Row],[Coupon frequency]]="Annual",1,Table1[[#This Row],[Coupon frequency]]="Every 4 months",3,Table1[[#This Row],[Coupon frequency]]="Monthly",12)</f>
        <v>1</v>
      </c>
      <c r="T82">
        <f>Table1[[#This Row],[Term to Maturity (Years)]]*Table1[[#This Row],[Coupon Frequency2]]</f>
        <v>10</v>
      </c>
      <c r="U82">
        <f>Table1[[#This Row],[Face value]]*Table1[[#This Row],[Current coupon %]]/Table1[[#This Row],[Coupon Frequency2]]</f>
        <v>110</v>
      </c>
      <c r="V82" s="23">
        <f>RATE(Table1[[#This Row],[Total No. of Coupons]],Table1[[#This Row],[Coupon Amount]],-Table1[[#This Row],[Ask Price]],Table1[[#This Row],[Face value]])</f>
        <v>0.10983031936825167</v>
      </c>
      <c r="W82" s="24">
        <f>Table1[[#This Row],[IRR]]*Table1[[#This Row],[Coupon Frequency2]]</f>
        <v>0.10983031936825167</v>
      </c>
      <c r="X82" s="25" cm="1">
        <f t="array" ref="X8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2" s="26">
        <f>DURATION(Table1[[#This Row],[Issue date]],Table1[[#This Row],[Maturity date]],Table1[[#This Row],[Current coupon %]],Table1[[#This Row],[Yield (Annualised)]],Table1[[#This Row],[Coupon Frequency2]])</f>
        <v>6.5388180377644733</v>
      </c>
      <c r="Z82" s="26">
        <f>Table1[[#This Row],[Macaulay Duration in Years]]/(1+Table1[[#This Row],[IRR]])</f>
        <v>5.891727702561381</v>
      </c>
      <c r="AA82" s="27">
        <f>VLOOKUP(Table1[[#This Row],[Yield Cluster]],'[1]Cluster Details'!$B$3:$C$16,2,0)</f>
        <v>0.11069942689191503</v>
      </c>
      <c r="AB82" s="28">
        <f>PRICE(Table1[[#This Row],[Issue date]],Table1[[#This Row],[Maturity date]],Table1[[#This Row],[Current coupon %]],Table1[[#This Row],[Average Cluster Yield]],100,Table1[[#This Row],[Coupon Frequency2]])*Table1[[#This Row],[Face value]]/100</f>
        <v>995.89296541778106</v>
      </c>
      <c r="AC82" s="27" t="str">
        <f>IF(Table1[[#This Row],[Ask Price]]&gt;Table1[[#This Row],[Calculated Bond Price]],"Rich","Cheap")</f>
        <v>Rich</v>
      </c>
      <c r="AD82" s="28">
        <f>PRICE(Table1[[#This Row],[Issue date]],Table1[[#This Row],[Maturity date]],Table1[[#This Row],[Current coupon %]],Table1[[#This Row],[Yield (Annualised)]]+$AE$2,100,Table1[[#This Row],[Coupon Frequency2]])*Table1[[#This Row],[Face value]]/100</f>
        <v>944.41790260016433</v>
      </c>
      <c r="AE82" s="28">
        <f>PRICE(Table1[[#This Row],[Issue date]],Table1[[#This Row],[Maturity date]],Table1[[#This Row],[Current coupon %]],Table1[[#This Row],[Yield (Annualised)]]-$AE$2,100,Table1[[#This Row],[Coupon Frequency2]])*Table1[[#This Row],[Face value]]/100</f>
        <v>1062.5338604393487</v>
      </c>
      <c r="AF82" s="28">
        <f>(Table1[[#This Row],[P (+ shock)]]+Table1[[#This Row],[P (-shock)]]-2*Table1[[#This Row],[Ask Price]])/(2*Table1[[#This Row],[Ask Price]]*($AE$2^2))</f>
        <v>24.734081116448678</v>
      </c>
    </row>
    <row r="83" spans="1:32" x14ac:dyDescent="0.25">
      <c r="A83" s="21" t="s">
        <v>257</v>
      </c>
      <c r="B83" s="3" t="s">
        <v>247</v>
      </c>
      <c r="C83" s="3" t="s">
        <v>19</v>
      </c>
      <c r="D83" s="4">
        <v>45411</v>
      </c>
      <c r="E83" s="4">
        <v>49063</v>
      </c>
      <c r="F83" s="3">
        <v>1000</v>
      </c>
      <c r="G83" s="3" t="s">
        <v>20</v>
      </c>
      <c r="H83" s="3">
        <v>971.2</v>
      </c>
      <c r="I83" s="3" t="s">
        <v>20</v>
      </c>
      <c r="J83" s="3">
        <v>97.12</v>
      </c>
      <c r="K83" s="3">
        <v>135</v>
      </c>
      <c r="L83" s="5">
        <v>0.1045</v>
      </c>
      <c r="M83" s="3" t="s">
        <v>21</v>
      </c>
      <c r="N83" s="3">
        <v>3146</v>
      </c>
      <c r="O83" s="6">
        <f>Table1[[#This Row],[Current coupon %]]*Table1[[#This Row],[Face value]]/Table1[[#This Row],[Ask Price]]</f>
        <v>0.1075988467874794</v>
      </c>
      <c r="P83" s="3"/>
      <c r="Q83" s="3" t="s">
        <v>22</v>
      </c>
      <c r="R83">
        <f t="shared" si="1"/>
        <v>10</v>
      </c>
      <c r="S83" s="22" cm="1">
        <f t="array" ref="S83">_xlfn.IFS(Table1[[#This Row],[Coupon frequency]]="Semi-annual",2,Table1[[#This Row],[Coupon frequency]]="Quarterly",4,Table1[[#This Row],[Coupon frequency]]="Annual",1,Table1[[#This Row],[Coupon frequency]]="Every 4 months",3,Table1[[#This Row],[Coupon frequency]]="Monthly",12)</f>
        <v>1</v>
      </c>
      <c r="T83">
        <f>Table1[[#This Row],[Term to Maturity (Years)]]*Table1[[#This Row],[Coupon Frequency2]]</f>
        <v>10</v>
      </c>
      <c r="U83">
        <f>Table1[[#This Row],[Face value]]*Table1[[#This Row],[Current coupon %]]/Table1[[#This Row],[Coupon Frequency2]]</f>
        <v>104.5</v>
      </c>
      <c r="V83" s="23">
        <f>RATE(Table1[[#This Row],[Total No. of Coupons]],Table1[[#This Row],[Coupon Amount]],-Table1[[#This Row],[Ask Price]],Table1[[#This Row],[Face value]])</f>
        <v>0.10937752382356374</v>
      </c>
      <c r="W83" s="24">
        <f>Table1[[#This Row],[IRR]]*Table1[[#This Row],[Coupon Frequency2]]</f>
        <v>0.10937752382356374</v>
      </c>
      <c r="X83" s="25" cm="1">
        <f t="array" ref="X8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3" s="26">
        <f>DURATION(Table1[[#This Row],[Issue date]],Table1[[#This Row],[Maturity date]],Table1[[#This Row],[Current coupon %]],Table1[[#This Row],[Yield (Annualised)]],Table1[[#This Row],[Coupon Frequency2]])</f>
        <v>6.6065654577939057</v>
      </c>
      <c r="Z83" s="26">
        <f>Table1[[#This Row],[Macaulay Duration in Years]]/(1+Table1[[#This Row],[IRR]])</f>
        <v>5.9552003857296638</v>
      </c>
      <c r="AA83" s="27">
        <f>VLOOKUP(Table1[[#This Row],[Yield Cluster]],'[1]Cluster Details'!$B$3:$C$16,2,0)</f>
        <v>0.11069942689191503</v>
      </c>
      <c r="AB83" s="28">
        <f>PRICE(Table1[[#This Row],[Issue date]],Table1[[#This Row],[Maturity date]],Table1[[#This Row],[Current coupon %]],Table1[[#This Row],[Average Cluster Yield]],100,Table1[[#This Row],[Coupon Frequency2]])*Table1[[#This Row],[Face value]]/100</f>
        <v>963.59696641729215</v>
      </c>
      <c r="AC83" s="27" t="str">
        <f>IF(Table1[[#This Row],[Ask Price]]&gt;Table1[[#This Row],[Calculated Bond Price]],"Rich","Cheap")</f>
        <v>Rich</v>
      </c>
      <c r="AD83" s="28">
        <f>PRICE(Table1[[#This Row],[Issue date]],Table1[[#This Row],[Maturity date]],Table1[[#This Row],[Current coupon %]],Table1[[#This Row],[Yield (Annualised)]]+$AE$2,100,Table1[[#This Row],[Coupon Frequency2]])*Table1[[#This Row],[Face value]]/100</f>
        <v>915.72404457049572</v>
      </c>
      <c r="AE83" s="28">
        <f>PRICE(Table1[[#This Row],[Issue date]],Table1[[#This Row],[Maturity date]],Table1[[#This Row],[Current coupon %]],Table1[[#This Row],[Yield (Annualised)]]-$AE$2,100,Table1[[#This Row],[Coupon Frequency2]])*Table1[[#This Row],[Face value]]/100</f>
        <v>1031.5597427030821</v>
      </c>
      <c r="AF83" s="28">
        <f>(Table1[[#This Row],[P (+ shock)]]+Table1[[#This Row],[P (-shock)]]-2*Table1[[#This Row],[Ask Price]])/(2*Table1[[#This Row],[Ask Price]]*($AE$2^2))</f>
        <v>25.143056391976838</v>
      </c>
    </row>
    <row r="84" spans="1:32" x14ac:dyDescent="0.25">
      <c r="A84" s="21" t="s">
        <v>258</v>
      </c>
      <c r="B84" s="3" t="s">
        <v>259</v>
      </c>
      <c r="C84" s="3" t="s">
        <v>19</v>
      </c>
      <c r="D84" s="4">
        <v>45239</v>
      </c>
      <c r="E84" s="4">
        <v>48892</v>
      </c>
      <c r="F84" s="3">
        <v>1000</v>
      </c>
      <c r="G84" s="3" t="s">
        <v>20</v>
      </c>
      <c r="H84" s="3">
        <v>1000</v>
      </c>
      <c r="I84" s="3" t="s">
        <v>20</v>
      </c>
      <c r="J84" s="3">
        <v>100</v>
      </c>
      <c r="K84" s="3">
        <v>196</v>
      </c>
      <c r="L84" s="5">
        <v>0.1075</v>
      </c>
      <c r="M84" s="3" t="s">
        <v>21</v>
      </c>
      <c r="N84" s="3">
        <v>2975</v>
      </c>
      <c r="O84" s="6">
        <f>Table1[[#This Row],[Current coupon %]]*Table1[[#This Row],[Face value]]/Table1[[#This Row],[Ask Price]]</f>
        <v>0.1075</v>
      </c>
      <c r="P84" s="3" t="s">
        <v>25</v>
      </c>
      <c r="Q84" s="3" t="s">
        <v>22</v>
      </c>
      <c r="R84">
        <f t="shared" si="1"/>
        <v>10</v>
      </c>
      <c r="S84" s="22" cm="1">
        <f t="array" ref="S84">_xlfn.IFS(Table1[[#This Row],[Coupon frequency]]="Semi-annual",2,Table1[[#This Row],[Coupon frequency]]="Quarterly",4,Table1[[#This Row],[Coupon frequency]]="Annual",1,Table1[[#This Row],[Coupon frequency]]="Every 4 months",3,Table1[[#This Row],[Coupon frequency]]="Monthly",12)</f>
        <v>1</v>
      </c>
      <c r="T84">
        <f>Table1[[#This Row],[Term to Maturity (Years)]]*Table1[[#This Row],[Coupon Frequency2]]</f>
        <v>10</v>
      </c>
      <c r="U84">
        <f>Table1[[#This Row],[Face value]]*Table1[[#This Row],[Current coupon %]]/Table1[[#This Row],[Coupon Frequency2]]</f>
        <v>107.5</v>
      </c>
      <c r="V84" s="23">
        <f>RATE(Table1[[#This Row],[Total No. of Coupons]],Table1[[#This Row],[Coupon Amount]],-Table1[[#This Row],[Ask Price]],Table1[[#This Row],[Face value]])</f>
        <v>0.10750000000128665</v>
      </c>
      <c r="W84" s="24">
        <f>Table1[[#This Row],[IRR]]*Table1[[#This Row],[Coupon Frequency2]]</f>
        <v>0.10750000000128665</v>
      </c>
      <c r="X84" s="25" cm="1">
        <f t="array" ref="X8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4" s="26">
        <f>DURATION(Table1[[#This Row],[Issue date]],Table1[[#This Row],[Maturity date]],Table1[[#This Row],[Current coupon %]],Table1[[#This Row],[Yield (Annualised)]],Table1[[#This Row],[Coupon Frequency2]])</f>
        <v>6.5912660456966163</v>
      </c>
      <c r="Z84" s="26">
        <f>Table1[[#This Row],[Macaulay Duration in Years]]/(1+Table1[[#This Row],[IRR]])</f>
        <v>5.9514817568297591</v>
      </c>
      <c r="AA84" s="27">
        <f>VLOOKUP(Table1[[#This Row],[Yield Cluster]],'[1]Cluster Details'!$B$3:$C$16,2,0)</f>
        <v>0.11069942689191503</v>
      </c>
      <c r="AB84" s="28">
        <f>PRICE(Table1[[#This Row],[Issue date]],Table1[[#This Row],[Maturity date]],Table1[[#This Row],[Current coupon %]],Table1[[#This Row],[Average Cluster Yield]],100,Table1[[#This Row],[Coupon Frequency2]])*Table1[[#This Row],[Face value]]/100</f>
        <v>981.21296587210452</v>
      </c>
      <c r="AC84" s="27" t="str">
        <f>IF(Table1[[#This Row],[Ask Price]]&gt;Table1[[#This Row],[Calculated Bond Price]],"Rich","Cheap")</f>
        <v>Rich</v>
      </c>
      <c r="AD84" s="28">
        <f>PRICE(Table1[[#This Row],[Issue date]],Table1[[#This Row],[Maturity date]],Table1[[#This Row],[Current coupon %]],Table1[[#This Row],[Yield (Annualised)]]+$AE$2,100,Table1[[#This Row],[Coupon Frequency2]])*Table1[[#This Row],[Face value]]/100</f>
        <v>942.91482252857691</v>
      </c>
      <c r="AE84" s="28">
        <f>PRICE(Table1[[#This Row],[Issue date]],Table1[[#This Row],[Maturity date]],Table1[[#This Row],[Current coupon %]],Table1[[#This Row],[Yield (Annualised)]]-$AE$2,100,Table1[[#This Row],[Coupon Frequency2]])*Table1[[#This Row],[Face value]]/100</f>
        <v>1062.1111621061971</v>
      </c>
      <c r="AF84" s="28">
        <f>(Table1[[#This Row],[P (+ shock)]]+Table1[[#This Row],[P (-shock)]]-2*Table1[[#This Row],[Ask Price]])/(2*Table1[[#This Row],[Ask Price]]*($AE$2^2))</f>
        <v>25.129923173869884</v>
      </c>
    </row>
    <row r="85" spans="1:32" x14ac:dyDescent="0.25">
      <c r="A85" s="21" t="s">
        <v>260</v>
      </c>
      <c r="B85" s="3" t="s">
        <v>261</v>
      </c>
      <c r="C85" s="3" t="s">
        <v>19</v>
      </c>
      <c r="D85" s="4">
        <v>45840</v>
      </c>
      <c r="E85" s="4">
        <v>49492</v>
      </c>
      <c r="F85" s="3">
        <v>1000</v>
      </c>
      <c r="G85" s="3" t="s">
        <v>20</v>
      </c>
      <c r="H85" s="3">
        <v>1000</v>
      </c>
      <c r="I85" s="3" t="s">
        <v>20</v>
      </c>
      <c r="J85" s="3">
        <v>100</v>
      </c>
      <c r="K85" s="3">
        <v>15</v>
      </c>
      <c r="L85" s="5">
        <v>0.1075</v>
      </c>
      <c r="M85" s="3" t="s">
        <v>21</v>
      </c>
      <c r="N85" s="3">
        <v>3575</v>
      </c>
      <c r="O85" s="6">
        <f>Table1[[#This Row],[Current coupon %]]*Table1[[#This Row],[Face value]]/Table1[[#This Row],[Ask Price]]</f>
        <v>0.1075</v>
      </c>
      <c r="P85" s="3"/>
      <c r="Q85" s="3" t="s">
        <v>22</v>
      </c>
      <c r="R85">
        <f t="shared" si="1"/>
        <v>10</v>
      </c>
      <c r="S85" s="22" cm="1">
        <f t="array" ref="S85">_xlfn.IFS(Table1[[#This Row],[Coupon frequency]]="Semi-annual",2,Table1[[#This Row],[Coupon frequency]]="Quarterly",4,Table1[[#This Row],[Coupon frequency]]="Annual",1,Table1[[#This Row],[Coupon frequency]]="Every 4 months",3,Table1[[#This Row],[Coupon frequency]]="Monthly",12)</f>
        <v>1</v>
      </c>
      <c r="T85">
        <f>Table1[[#This Row],[Term to Maturity (Years)]]*Table1[[#This Row],[Coupon Frequency2]]</f>
        <v>10</v>
      </c>
      <c r="U85">
        <f>Table1[[#This Row],[Face value]]*Table1[[#This Row],[Current coupon %]]/Table1[[#This Row],[Coupon Frequency2]]</f>
        <v>107.5</v>
      </c>
      <c r="V85" s="23">
        <f>RATE(Table1[[#This Row],[Total No. of Coupons]],Table1[[#This Row],[Coupon Amount]],-Table1[[#This Row],[Ask Price]],Table1[[#This Row],[Face value]])</f>
        <v>0.10750000000128665</v>
      </c>
      <c r="W85" s="24">
        <f>Table1[[#This Row],[IRR]]*Table1[[#This Row],[Coupon Frequency2]]</f>
        <v>0.10750000000128665</v>
      </c>
      <c r="X85" s="25" cm="1">
        <f t="array" ref="X8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5" s="26">
        <f>DURATION(Table1[[#This Row],[Issue date]],Table1[[#This Row],[Maturity date]],Table1[[#This Row],[Current coupon %]],Table1[[#This Row],[Yield (Annualised)]],Table1[[#This Row],[Coupon Frequency2]])</f>
        <v>6.5912660456966163</v>
      </c>
      <c r="Z85" s="26">
        <f>Table1[[#This Row],[Macaulay Duration in Years]]/(1+Table1[[#This Row],[IRR]])</f>
        <v>5.9514817568297591</v>
      </c>
      <c r="AA85" s="27">
        <f>VLOOKUP(Table1[[#This Row],[Yield Cluster]],'[1]Cluster Details'!$B$3:$C$16,2,0)</f>
        <v>0.11069942689191503</v>
      </c>
      <c r="AB85" s="28">
        <f>PRICE(Table1[[#This Row],[Issue date]],Table1[[#This Row],[Maturity date]],Table1[[#This Row],[Current coupon %]],Table1[[#This Row],[Average Cluster Yield]],100,Table1[[#This Row],[Coupon Frequency2]])*Table1[[#This Row],[Face value]]/100</f>
        <v>981.21296587210452</v>
      </c>
      <c r="AC85" s="27" t="str">
        <f>IF(Table1[[#This Row],[Ask Price]]&gt;Table1[[#This Row],[Calculated Bond Price]],"Rich","Cheap")</f>
        <v>Rich</v>
      </c>
      <c r="AD85" s="28">
        <f>PRICE(Table1[[#This Row],[Issue date]],Table1[[#This Row],[Maturity date]],Table1[[#This Row],[Current coupon %]],Table1[[#This Row],[Yield (Annualised)]]+$AE$2,100,Table1[[#This Row],[Coupon Frequency2]])*Table1[[#This Row],[Face value]]/100</f>
        <v>942.91482252857691</v>
      </c>
      <c r="AE85" s="28">
        <f>PRICE(Table1[[#This Row],[Issue date]],Table1[[#This Row],[Maturity date]],Table1[[#This Row],[Current coupon %]],Table1[[#This Row],[Yield (Annualised)]]-$AE$2,100,Table1[[#This Row],[Coupon Frequency2]])*Table1[[#This Row],[Face value]]/100</f>
        <v>1062.1111621061971</v>
      </c>
      <c r="AF85" s="28">
        <f>(Table1[[#This Row],[P (+ shock)]]+Table1[[#This Row],[P (-shock)]]-2*Table1[[#This Row],[Ask Price]])/(2*Table1[[#This Row],[Ask Price]]*($AE$2^2))</f>
        <v>25.129923173869884</v>
      </c>
    </row>
    <row r="86" spans="1:32" x14ac:dyDescent="0.25">
      <c r="A86" s="21" t="s">
        <v>262</v>
      </c>
      <c r="B86" s="3" t="s">
        <v>263</v>
      </c>
      <c r="C86" s="3" t="s">
        <v>19</v>
      </c>
      <c r="D86" s="4">
        <v>45287</v>
      </c>
      <c r="E86" s="4">
        <v>47844</v>
      </c>
      <c r="F86" s="3">
        <v>1000</v>
      </c>
      <c r="G86" s="3" t="s">
        <v>20</v>
      </c>
      <c r="H86" s="3">
        <v>977.3</v>
      </c>
      <c r="I86" s="3" t="s">
        <v>20</v>
      </c>
      <c r="J86" s="3">
        <v>97.729999999999905</v>
      </c>
      <c r="K86" s="3">
        <v>3</v>
      </c>
      <c r="L86" s="5">
        <v>0.105</v>
      </c>
      <c r="M86" s="3" t="s">
        <v>21</v>
      </c>
      <c r="N86" s="3">
        <v>1927</v>
      </c>
      <c r="O86" s="6">
        <f>Table1[[#This Row],[Current coupon %]]*Table1[[#This Row],[Face value]]/Table1[[#This Row],[Ask Price]]</f>
        <v>0.10743886217128824</v>
      </c>
      <c r="P86" s="3" t="s">
        <v>25</v>
      </c>
      <c r="Q86" s="3" t="s">
        <v>22</v>
      </c>
      <c r="R86">
        <f t="shared" si="1"/>
        <v>7</v>
      </c>
      <c r="S86" s="22" cm="1">
        <f t="array" ref="S86">_xlfn.IFS(Table1[[#This Row],[Coupon frequency]]="Semi-annual",2,Table1[[#This Row],[Coupon frequency]]="Quarterly",4,Table1[[#This Row],[Coupon frequency]]="Annual",1,Table1[[#This Row],[Coupon frequency]]="Every 4 months",3,Table1[[#This Row],[Coupon frequency]]="Monthly",12)</f>
        <v>1</v>
      </c>
      <c r="T86">
        <f>Table1[[#This Row],[Term to Maturity (Years)]]*Table1[[#This Row],[Coupon Frequency2]]</f>
        <v>7</v>
      </c>
      <c r="U86">
        <f>Table1[[#This Row],[Face value]]*Table1[[#This Row],[Current coupon %]]/Table1[[#This Row],[Coupon Frequency2]]</f>
        <v>105</v>
      </c>
      <c r="V86" s="23">
        <f>RATE(Table1[[#This Row],[Total No. of Coupons]],Table1[[#This Row],[Coupon Amount]],-Table1[[#This Row],[Ask Price]],Table1[[#This Row],[Face value]])</f>
        <v>0.1098143982401663</v>
      </c>
      <c r="W86" s="24">
        <f>Table1[[#This Row],[IRR]]*Table1[[#This Row],[Coupon Frequency2]]</f>
        <v>0.1098143982401663</v>
      </c>
      <c r="X86" s="25" cm="1">
        <f t="array" ref="X8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6" s="26">
        <f>DURATION(Table1[[#This Row],[Issue date]],Table1[[#This Row],[Maturity date]],Table1[[#This Row],[Current coupon %]],Table1[[#This Row],[Yield (Annualised)]],Table1[[#This Row],[Coupon Frequency2]])</f>
        <v>5.2710293275643156</v>
      </c>
      <c r="Z86" s="26">
        <f>Table1[[#This Row],[Macaulay Duration in Years]]/(1+Table1[[#This Row],[IRR]])</f>
        <v>4.7494692228922171</v>
      </c>
      <c r="AA86" s="27">
        <f>VLOOKUP(Table1[[#This Row],[Yield Cluster]],'[1]Cluster Details'!$B$3:$C$16,2,0)</f>
        <v>0.11069942689191503</v>
      </c>
      <c r="AB86" s="28">
        <f>PRICE(Table1[[#This Row],[Issue date]],Table1[[#This Row],[Maturity date]],Table1[[#This Row],[Current coupon %]],Table1[[#This Row],[Average Cluster Yield]],100,Table1[[#This Row],[Coupon Frequency2]])*Table1[[#This Row],[Face value]]/100</f>
        <v>973.20376409209189</v>
      </c>
      <c r="AC86" s="27" t="str">
        <f>IF(Table1[[#This Row],[Ask Price]]&gt;Table1[[#This Row],[Calculated Bond Price]],"Rich","Cheap")</f>
        <v>Rich</v>
      </c>
      <c r="AD86" s="28">
        <f>PRICE(Table1[[#This Row],[Issue date]],Table1[[#This Row],[Maturity date]],Table1[[#This Row],[Current coupon %]],Table1[[#This Row],[Yield (Annualised)]]+$AE$2,100,Table1[[#This Row],[Coupon Frequency2]])*Table1[[#This Row],[Face value]]/100</f>
        <v>932.35088416697351</v>
      </c>
      <c r="AE86" s="28">
        <f>PRICE(Table1[[#This Row],[Issue date]],Table1[[#This Row],[Maturity date]],Table1[[#This Row],[Current coupon %]],Table1[[#This Row],[Yield (Annualised)]]-$AE$2,100,Table1[[#This Row],[Coupon Frequency2]])*Table1[[#This Row],[Face value]]/100</f>
        <v>1025.2611155161439</v>
      </c>
      <c r="AF86" s="28">
        <f>(Table1[[#This Row],[P (+ shock)]]+Table1[[#This Row],[P (-shock)]]-2*Table1[[#This Row],[Ask Price]])/(2*Table1[[#This Row],[Ask Price]]*($AE$2^2))</f>
        <v>15.409800895925843</v>
      </c>
    </row>
    <row r="87" spans="1:32" x14ac:dyDescent="0.25">
      <c r="A87" s="21" t="s">
        <v>264</v>
      </c>
      <c r="B87" s="3" t="s">
        <v>265</v>
      </c>
      <c r="C87" s="3" t="s">
        <v>19</v>
      </c>
      <c r="D87" s="4">
        <v>45371</v>
      </c>
      <c r="E87" s="4">
        <v>47593</v>
      </c>
      <c r="F87" s="3">
        <v>100000</v>
      </c>
      <c r="G87" s="3" t="s">
        <v>20</v>
      </c>
      <c r="H87" s="3">
        <v>102500</v>
      </c>
      <c r="I87" s="3" t="s">
        <v>20</v>
      </c>
      <c r="J87" s="3">
        <v>102.49999999999901</v>
      </c>
      <c r="K87" s="3">
        <v>1</v>
      </c>
      <c r="L87" s="5">
        <v>0.11</v>
      </c>
      <c r="M87" s="3" t="s">
        <v>53</v>
      </c>
      <c r="N87" s="3">
        <v>1676</v>
      </c>
      <c r="O87" s="6">
        <f>Table1[[#This Row],[Current coupon %]]*Table1[[#This Row],[Face value]]/Table1[[#This Row],[Ask Price]]</f>
        <v>0.10731707317073171</v>
      </c>
      <c r="P87" s="3"/>
      <c r="Q87" s="3" t="s">
        <v>22</v>
      </c>
      <c r="R87">
        <f t="shared" si="1"/>
        <v>6</v>
      </c>
      <c r="S87" s="22" cm="1">
        <f t="array" ref="S87">_xlfn.IFS(Table1[[#This Row],[Coupon frequency]]="Semi-annual",2,Table1[[#This Row],[Coupon frequency]]="Quarterly",4,Table1[[#This Row],[Coupon frequency]]="Annual",1,Table1[[#This Row],[Coupon frequency]]="Every 4 months",3,Table1[[#This Row],[Coupon frequency]]="Monthly",12)</f>
        <v>2</v>
      </c>
      <c r="T87">
        <f>Table1[[#This Row],[Term to Maturity (Years)]]*Table1[[#This Row],[Coupon Frequency2]]</f>
        <v>12</v>
      </c>
      <c r="U87">
        <f>Table1[[#This Row],[Face value]]*Table1[[#This Row],[Current coupon %]]/Table1[[#This Row],[Coupon Frequency2]]</f>
        <v>5500</v>
      </c>
      <c r="V87" s="23">
        <f>RATE(Table1[[#This Row],[Total No. of Coupons]],Table1[[#This Row],[Coupon Amount]],-Table1[[#This Row],[Ask Price]],Table1[[#This Row],[Face value]])</f>
        <v>5.2145137236273335E-2</v>
      </c>
      <c r="W87" s="24">
        <f>Table1[[#This Row],[IRR]]*Table1[[#This Row],[Coupon Frequency2]]</f>
        <v>0.10429027447254667</v>
      </c>
      <c r="X87" s="25" cm="1">
        <f t="array" ref="X8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7" s="26">
        <f>DURATION(Table1[[#This Row],[Issue date]],Table1[[#This Row],[Maturity date]],Table1[[#This Row],[Current coupon %]],Table1[[#This Row],[Yield (Annualised)]],Table1[[#This Row],[Coupon Frequency2]])</f>
        <v>4.4171634392475054</v>
      </c>
      <c r="Z87" s="26">
        <f>Table1[[#This Row],[Macaulay Duration in Years]]/(1+Table1[[#This Row],[IRR]])</f>
        <v>4.1982453588582924</v>
      </c>
      <c r="AA87" s="27">
        <f>VLOOKUP(Table1[[#This Row],[Yield Cluster]],'[1]Cluster Details'!$B$3:$C$16,2,0)</f>
        <v>0.11069942689191503</v>
      </c>
      <c r="AB87" s="28">
        <f>PRICE(Table1[[#This Row],[Issue date]],Table1[[#This Row],[Maturity date]],Table1[[#This Row],[Current coupon %]],Table1[[#This Row],[Average Cluster Yield]],100,Table1[[#This Row],[Coupon Frequency2]])*Table1[[#This Row],[Face value]]/100</f>
        <v>99675.526703745782</v>
      </c>
      <c r="AC87" s="27" t="str">
        <f>IF(Table1[[#This Row],[Ask Price]]&gt;Table1[[#This Row],[Calculated Bond Price]],"Rich","Cheap")</f>
        <v>Rich</v>
      </c>
      <c r="AD87" s="28">
        <f>PRICE(Table1[[#This Row],[Issue date]],Table1[[#This Row],[Maturity date]],Table1[[#This Row],[Current coupon %]],Table1[[#This Row],[Yield (Annualised)]]+$AE$2,100,Table1[[#This Row],[Coupon Frequency2]])*Table1[[#This Row],[Face value]]/100</f>
        <v>98133.944751101008</v>
      </c>
      <c r="AE87" s="28">
        <f>PRICE(Table1[[#This Row],[Issue date]],Table1[[#This Row],[Maturity date]],Table1[[#This Row],[Current coupon %]],Table1[[#This Row],[Yield (Annualised)]]-$AE$2,100,Table1[[#This Row],[Coupon Frequency2]])*Table1[[#This Row],[Face value]]/100</f>
        <v>107131.05879105843</v>
      </c>
      <c r="AF87" s="28">
        <f>(Table1[[#This Row],[P (+ shock)]]+Table1[[#This Row],[P (-shock)]]-2*Table1[[#This Row],[Ask Price]])/(2*Table1[[#This Row],[Ask Price]]*($AE$2^2))</f>
        <v>12.927002056558594</v>
      </c>
    </row>
    <row r="88" spans="1:32" x14ac:dyDescent="0.25">
      <c r="A88" s="21" t="s">
        <v>57</v>
      </c>
      <c r="B88" s="3" t="s">
        <v>58</v>
      </c>
      <c r="C88" s="3" t="s">
        <v>19</v>
      </c>
      <c r="D88" s="4">
        <v>45511</v>
      </c>
      <c r="E88" s="4">
        <v>46241</v>
      </c>
      <c r="F88" s="3">
        <v>1000</v>
      </c>
      <c r="G88" s="3" t="s">
        <v>20</v>
      </c>
      <c r="H88" s="3">
        <v>1000.07</v>
      </c>
      <c r="I88" s="3" t="s">
        <v>20</v>
      </c>
      <c r="J88" s="3">
        <v>100.00700000000001</v>
      </c>
      <c r="K88" s="3">
        <v>50</v>
      </c>
      <c r="L88" s="5">
        <v>0.1</v>
      </c>
      <c r="M88" s="3" t="s">
        <v>21</v>
      </c>
      <c r="N88" s="3">
        <v>324</v>
      </c>
      <c r="O88" s="6">
        <f>Table1[[#This Row],[Current coupon %]]*Table1[[#This Row],[Face value]]/Table1[[#This Row],[Ask Price]]</f>
        <v>9.9993000489965692E-2</v>
      </c>
      <c r="P88" s="3"/>
      <c r="Q88" s="3" t="s">
        <v>22</v>
      </c>
      <c r="R88">
        <f t="shared" si="1"/>
        <v>2</v>
      </c>
      <c r="S88" s="22" cm="1">
        <f t="array" ref="S88">_xlfn.IFS(Table1[[#This Row],[Coupon frequency]]="Semi-annual",2,Table1[[#This Row],[Coupon frequency]]="Quarterly",4,Table1[[#This Row],[Coupon frequency]]="Annual",1,Table1[[#This Row],[Coupon frequency]]="Every 4 months",3,Table1[[#This Row],[Coupon frequency]]="Monthly",12)</f>
        <v>1</v>
      </c>
      <c r="T88">
        <f>Table1[[#This Row],[Term to Maturity (Years)]]*Table1[[#This Row],[Coupon Frequency2]]</f>
        <v>2</v>
      </c>
      <c r="U88">
        <f>Table1[[#This Row],[Face value]]*Table1[[#This Row],[Current coupon %]]/Table1[[#This Row],[Coupon Frequency2]]</f>
        <v>100</v>
      </c>
      <c r="V88" s="23">
        <f>RATE(Table1[[#This Row],[Total No. of Coupons]],Table1[[#This Row],[Coupon Amount]],-Table1[[#This Row],[Ask Price]],Table1[[#This Row],[Face value]])</f>
        <v>9.9959668859546491E-2</v>
      </c>
      <c r="W88" s="24">
        <f>Table1[[#This Row],[IRR]]*Table1[[#This Row],[Coupon Frequency2]]</f>
        <v>9.9959668859546491E-2</v>
      </c>
      <c r="X88" s="25" cm="1">
        <f t="array" ref="X8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88" s="26">
        <f>DURATION(Table1[[#This Row],[Issue date]],Table1[[#This Row],[Maturity date]],Table1[[#This Row],[Current coupon %]],Table1[[#This Row],[Yield (Annualised)]],Table1[[#This Row],[Coupon Frequency2]])</f>
        <v>1.9090939392392852</v>
      </c>
      <c r="Z88" s="26">
        <f>Table1[[#This Row],[Macaulay Duration in Years]]/(1+Table1[[#This Row],[IRR]])</f>
        <v>1.7356035801009506</v>
      </c>
      <c r="AA88" s="27">
        <f>VLOOKUP(Table1[[#This Row],[Yield Cluster]],'[1]Cluster Details'!$B$3:$C$16,2,0)</f>
        <v>7.8548801574189142E-2</v>
      </c>
      <c r="AB88" s="28">
        <f>PRICE(Table1[[#This Row],[Issue date]],Table1[[#This Row],[Maturity date]],Table1[[#This Row],[Current coupon %]],Table1[[#This Row],[Average Cluster Yield]],100,Table1[[#This Row],[Coupon Frequency2]])*Table1[[#This Row],[Face value]]/100</f>
        <v>1038.3294144418585</v>
      </c>
      <c r="AC88" s="27" t="str">
        <f>IF(Table1[[#This Row],[Ask Price]]&gt;Table1[[#This Row],[Calculated Bond Price]],"Rich","Cheap")</f>
        <v>Cheap</v>
      </c>
      <c r="AD88" s="28">
        <f>PRICE(Table1[[#This Row],[Issue date]],Table1[[#This Row],[Maturity date]],Table1[[#This Row],[Current coupon %]],Table1[[#This Row],[Yield (Annualised)]]+$AE$2,100,Table1[[#This Row],[Coupon Frequency2]])*Table1[[#This Row],[Face value]]/100</f>
        <v>982.94292120047646</v>
      </c>
      <c r="AE88" s="28">
        <f>PRICE(Table1[[#This Row],[Issue date]],Table1[[#This Row],[Maturity date]],Table1[[#This Row],[Current coupon %]],Table1[[#This Row],[Yield (Annualised)]]-$AE$2,100,Table1[[#This Row],[Coupon Frequency2]])*Table1[[#This Row],[Face value]]/100</f>
        <v>1017.6630250680005</v>
      </c>
      <c r="AF88" s="28">
        <f>(Table1[[#This Row],[P (+ shock)]]+Table1[[#This Row],[P (-shock)]]-2*Table1[[#This Row],[Ask Price]])/(2*Table1[[#This Row],[Ask Price]]*($AE$2^2))</f>
        <v>2.3295682726056928</v>
      </c>
    </row>
    <row r="89" spans="1:32" x14ac:dyDescent="0.25">
      <c r="A89" s="21" t="s">
        <v>266</v>
      </c>
      <c r="B89" s="3" t="s">
        <v>267</v>
      </c>
      <c r="C89" s="3" t="s">
        <v>19</v>
      </c>
      <c r="D89" s="4">
        <v>45840</v>
      </c>
      <c r="E89" s="4">
        <v>47666</v>
      </c>
      <c r="F89" s="3">
        <v>1000</v>
      </c>
      <c r="G89" s="3" t="s">
        <v>20</v>
      </c>
      <c r="H89" s="3">
        <v>960</v>
      </c>
      <c r="I89" s="3" t="s">
        <v>20</v>
      </c>
      <c r="J89" s="3">
        <v>96</v>
      </c>
      <c r="K89" s="3">
        <v>100</v>
      </c>
      <c r="L89" s="5">
        <v>0.10300000000000001</v>
      </c>
      <c r="M89" s="3" t="s">
        <v>21</v>
      </c>
      <c r="N89" s="3">
        <v>1749</v>
      </c>
      <c r="O89" s="6">
        <f>Table1[[#This Row],[Current coupon %]]*Table1[[#This Row],[Face value]]/Table1[[#This Row],[Ask Price]]</f>
        <v>0.10729166666666669</v>
      </c>
      <c r="P89" s="3"/>
      <c r="Q89" s="3" t="s">
        <v>22</v>
      </c>
      <c r="R89">
        <f t="shared" si="1"/>
        <v>5</v>
      </c>
      <c r="S89" s="22" cm="1">
        <f t="array" ref="S89">_xlfn.IFS(Table1[[#This Row],[Coupon frequency]]="Semi-annual",2,Table1[[#This Row],[Coupon frequency]]="Quarterly",4,Table1[[#This Row],[Coupon frequency]]="Annual",1,Table1[[#This Row],[Coupon frequency]]="Every 4 months",3,Table1[[#This Row],[Coupon frequency]]="Monthly",12)</f>
        <v>1</v>
      </c>
      <c r="T89">
        <f>Table1[[#This Row],[Term to Maturity (Years)]]*Table1[[#This Row],[Coupon Frequency2]]</f>
        <v>5</v>
      </c>
      <c r="U89">
        <f>Table1[[#This Row],[Face value]]*Table1[[#This Row],[Current coupon %]]/Table1[[#This Row],[Coupon Frequency2]]</f>
        <v>103.00000000000001</v>
      </c>
      <c r="V89" s="23">
        <f>RATE(Table1[[#This Row],[Total No. of Coupons]],Table1[[#This Row],[Coupon Amount]],-Table1[[#This Row],[Ask Price]],Table1[[#This Row],[Face value]])</f>
        <v>0.11393001342338929</v>
      </c>
      <c r="W89" s="24">
        <f>Table1[[#This Row],[IRR]]*Table1[[#This Row],[Coupon Frequency2]]</f>
        <v>0.11393001342338929</v>
      </c>
      <c r="X89" s="25" cm="1">
        <f t="array" ref="X8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89" s="26">
        <f>DURATION(Table1[[#This Row],[Issue date]],Table1[[#This Row],[Maturity date]],Table1[[#This Row],[Current coupon %]],Table1[[#This Row],[Yield (Annualised)]],Table1[[#This Row],[Coupon Frequency2]])</f>
        <v>4.1303956971327196</v>
      </c>
      <c r="Z89" s="26">
        <f>Table1[[#This Row],[Macaulay Duration in Years]]/(1+Table1[[#This Row],[IRR]])</f>
        <v>3.7079490159700126</v>
      </c>
      <c r="AA89" s="27">
        <f>VLOOKUP(Table1[[#This Row],[Yield Cluster]],'[1]Cluster Details'!$B$3:$C$16,2,0)</f>
        <v>0.11069942689191503</v>
      </c>
      <c r="AB89" s="28">
        <f>PRICE(Table1[[#This Row],[Issue date]],Table1[[#This Row],[Maturity date]],Table1[[#This Row],[Current coupon %]],Table1[[#This Row],[Average Cluster Yield]],100,Table1[[#This Row],[Coupon Frequency2]])*Table1[[#This Row],[Face value]]/100</f>
        <v>971.59370743489819</v>
      </c>
      <c r="AC89" s="27" t="str">
        <f>IF(Table1[[#This Row],[Ask Price]]&gt;Table1[[#This Row],[Calculated Bond Price]],"Rich","Cheap")</f>
        <v>Cheap</v>
      </c>
      <c r="AD89" s="28">
        <f>PRICE(Table1[[#This Row],[Issue date]],Table1[[#This Row],[Maturity date]],Table1[[#This Row],[Current coupon %]],Table1[[#This Row],[Yield (Annualised)]]+$AE$2,100,Table1[[#This Row],[Coupon Frequency2]])*Table1[[#This Row],[Face value]]/100</f>
        <v>925.28080021900973</v>
      </c>
      <c r="AE89" s="28">
        <f>PRICE(Table1[[#This Row],[Issue date]],Table1[[#This Row],[Maturity date]],Table1[[#This Row],[Current coupon %]],Table1[[#This Row],[Yield (Annualised)]]-$AE$2,100,Table1[[#This Row],[Coupon Frequency2]])*Table1[[#This Row],[Face value]]/100</f>
        <v>996.50962932908772</v>
      </c>
      <c r="AF89" s="28">
        <f>(Table1[[#This Row],[P (+ shock)]]+Table1[[#This Row],[P (-shock)]]-2*Table1[[#This Row],[Ask Price]])/(2*Table1[[#This Row],[Ask Price]]*($AE$2^2))</f>
        <v>9.325153896341476</v>
      </c>
    </row>
    <row r="90" spans="1:32" x14ac:dyDescent="0.25">
      <c r="A90" s="21" t="s">
        <v>268</v>
      </c>
      <c r="B90" s="3" t="s">
        <v>269</v>
      </c>
      <c r="C90" s="3" t="s">
        <v>19</v>
      </c>
      <c r="D90" s="4">
        <v>45488</v>
      </c>
      <c r="E90" s="4">
        <v>46464</v>
      </c>
      <c r="F90" s="3">
        <v>100000</v>
      </c>
      <c r="G90" s="3" t="s">
        <v>20</v>
      </c>
      <c r="H90" s="3">
        <v>97000</v>
      </c>
      <c r="I90" s="3" t="s">
        <v>20</v>
      </c>
      <c r="J90" s="3">
        <v>97</v>
      </c>
      <c r="K90" s="3">
        <v>1</v>
      </c>
      <c r="L90" s="5">
        <v>0.10400000000000001</v>
      </c>
      <c r="M90" s="3" t="s">
        <v>44</v>
      </c>
      <c r="N90" s="3">
        <v>547</v>
      </c>
      <c r="O90" s="6">
        <f>Table1[[#This Row],[Current coupon %]]*Table1[[#This Row],[Face value]]/Table1[[#This Row],[Ask Price]]</f>
        <v>0.10721649484536085</v>
      </c>
      <c r="P90" s="3"/>
      <c r="Q90" s="3" t="s">
        <v>22</v>
      </c>
      <c r="R90">
        <f t="shared" si="1"/>
        <v>3</v>
      </c>
      <c r="S90" s="22" cm="1">
        <f t="array" ref="S90">_xlfn.IFS(Table1[[#This Row],[Coupon frequency]]="Semi-annual",2,Table1[[#This Row],[Coupon frequency]]="Quarterly",4,Table1[[#This Row],[Coupon frequency]]="Annual",1,Table1[[#This Row],[Coupon frequency]]="Every 4 months",3,Table1[[#This Row],[Coupon frequency]]="Monthly",12)</f>
        <v>4</v>
      </c>
      <c r="T90">
        <f>Table1[[#This Row],[Term to Maturity (Years)]]*Table1[[#This Row],[Coupon Frequency2]]</f>
        <v>12</v>
      </c>
      <c r="U90">
        <f>Table1[[#This Row],[Face value]]*Table1[[#This Row],[Current coupon %]]/Table1[[#This Row],[Coupon Frequency2]]</f>
        <v>2600.0000000000005</v>
      </c>
      <c r="V90" s="23">
        <f>RATE(Table1[[#This Row],[Total No. of Coupons]],Table1[[#This Row],[Coupon Amount]],-Table1[[#This Row],[Ask Price]],Table1[[#This Row],[Face value]])</f>
        <v>2.8995824849125506E-2</v>
      </c>
      <c r="W90" s="24">
        <f>Table1[[#This Row],[IRR]]*Table1[[#This Row],[Coupon Frequency2]]</f>
        <v>0.11598329939650202</v>
      </c>
      <c r="X90" s="25" cm="1">
        <f t="array" ref="X9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0" s="26">
        <f>DURATION(Table1[[#This Row],[Issue date]],Table1[[#This Row],[Maturity date]],Table1[[#This Row],[Current coupon %]],Table1[[#This Row],[Yield (Annualised)]],Table1[[#This Row],[Coupon Frequency2]])</f>
        <v>2.3461869314985111</v>
      </c>
      <c r="Z90" s="26">
        <f>Table1[[#This Row],[Macaulay Duration in Years]]/(1+Table1[[#This Row],[IRR]])</f>
        <v>2.2800742965526766</v>
      </c>
      <c r="AA90" s="27">
        <f>VLOOKUP(Table1[[#This Row],[Yield Cluster]],'[1]Cluster Details'!$B$3:$C$16,2,0)</f>
        <v>0.11069942689191503</v>
      </c>
      <c r="AB90" s="28">
        <f>PRICE(Table1[[#This Row],[Issue date]],Table1[[#This Row],[Maturity date]],Table1[[#This Row],[Current coupon %]],Table1[[#This Row],[Average Cluster Yield]],100,Table1[[#This Row],[Coupon Frequency2]])*Table1[[#This Row],[Face value]]/100</f>
        <v>98459.58716874216</v>
      </c>
      <c r="AC90" s="27" t="str">
        <f>IF(Table1[[#This Row],[Ask Price]]&gt;Table1[[#This Row],[Calculated Bond Price]],"Rich","Cheap")</f>
        <v>Cheap</v>
      </c>
      <c r="AD90" s="28">
        <f>PRICE(Table1[[#This Row],[Issue date]],Table1[[#This Row],[Maturity date]],Table1[[#This Row],[Current coupon %]],Table1[[#This Row],[Yield (Annualised)]]+$AE$2,100,Table1[[#This Row],[Coupon Frequency2]])*Table1[[#This Row],[Face value]]/100</f>
        <v>95064.297781034635</v>
      </c>
      <c r="AE90" s="28">
        <f>PRICE(Table1[[#This Row],[Issue date]],Table1[[#This Row],[Maturity date]],Table1[[#This Row],[Current coupon %]],Table1[[#This Row],[Yield (Annualised)]]-$AE$2,100,Table1[[#This Row],[Coupon Frequency2]])*Table1[[#This Row],[Face value]]/100</f>
        <v>99536.125986065381</v>
      </c>
      <c r="AF90" s="28">
        <f>(Table1[[#This Row],[P (+ shock)]]+Table1[[#This Row],[P (-shock)]]-2*Table1[[#This Row],[Ask Price]])/(2*Table1[[#This Row],[Ask Price]]*($AE$2^2))</f>
        <v>30.949678716496393</v>
      </c>
    </row>
    <row r="91" spans="1:32" x14ac:dyDescent="0.25">
      <c r="A91" s="21" t="s">
        <v>270</v>
      </c>
      <c r="B91" s="3" t="s">
        <v>271</v>
      </c>
      <c r="C91" s="3" t="s">
        <v>19</v>
      </c>
      <c r="D91" s="4">
        <v>45777</v>
      </c>
      <c r="E91" s="4">
        <v>46873</v>
      </c>
      <c r="F91" s="3">
        <v>1000</v>
      </c>
      <c r="G91" s="3" t="s">
        <v>20</v>
      </c>
      <c r="H91" s="3">
        <v>969</v>
      </c>
      <c r="I91" s="3" t="s">
        <v>20</v>
      </c>
      <c r="J91" s="3">
        <v>96.899999999999906</v>
      </c>
      <c r="K91" s="3">
        <v>375</v>
      </c>
      <c r="L91" s="5">
        <v>0.1</v>
      </c>
      <c r="M91" s="3" t="s">
        <v>21</v>
      </c>
      <c r="N91" s="3">
        <v>956</v>
      </c>
      <c r="O91" s="6">
        <f>Table1[[#This Row],[Current coupon %]]*Table1[[#This Row],[Face value]]/Table1[[#This Row],[Ask Price]]</f>
        <v>0.10319917440660474</v>
      </c>
      <c r="P91" s="3"/>
      <c r="Q91" s="3" t="s">
        <v>22</v>
      </c>
      <c r="R91">
        <f t="shared" si="1"/>
        <v>3</v>
      </c>
      <c r="S91" s="22" cm="1">
        <f t="array" ref="S91">_xlfn.IFS(Table1[[#This Row],[Coupon frequency]]="Semi-annual",2,Table1[[#This Row],[Coupon frequency]]="Quarterly",4,Table1[[#This Row],[Coupon frequency]]="Annual",1,Table1[[#This Row],[Coupon frequency]]="Every 4 months",3,Table1[[#This Row],[Coupon frequency]]="Monthly",12)</f>
        <v>1</v>
      </c>
      <c r="T91">
        <f>Table1[[#This Row],[Term to Maturity (Years)]]*Table1[[#This Row],[Coupon Frequency2]]</f>
        <v>3</v>
      </c>
      <c r="U91">
        <f>Table1[[#This Row],[Face value]]*Table1[[#This Row],[Current coupon %]]/Table1[[#This Row],[Coupon Frequency2]]</f>
        <v>100</v>
      </c>
      <c r="V91" s="23">
        <f>RATE(Table1[[#This Row],[Total No. of Coupons]],Table1[[#This Row],[Coupon Amount]],-Table1[[#This Row],[Ask Price]],Table1[[#This Row],[Face value]])</f>
        <v>0.1127462401379116</v>
      </c>
      <c r="W91" s="24">
        <f>Table1[[#This Row],[IRR]]*Table1[[#This Row],[Coupon Frequency2]]</f>
        <v>0.1127462401379116</v>
      </c>
      <c r="X91" s="25" cm="1">
        <f t="array" ref="X9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1" s="26">
        <f>DURATION(Table1[[#This Row],[Issue date]],Table1[[#This Row],[Maturity date]],Table1[[#This Row],[Current coupon %]],Table1[[#This Row],[Yield (Annualised)]],Table1[[#This Row],[Coupon Frequency2]])</f>
        <v>2.7311686050013564</v>
      </c>
      <c r="Z91" s="26">
        <f>Table1[[#This Row],[Macaulay Duration in Years]]/(1+Table1[[#This Row],[IRR]])</f>
        <v>2.454439751387397</v>
      </c>
      <c r="AA91" s="27">
        <f>VLOOKUP(Table1[[#This Row],[Yield Cluster]],'[1]Cluster Details'!$B$3:$C$16,2,0)</f>
        <v>0.11069942689191503</v>
      </c>
      <c r="AB91" s="28">
        <f>PRICE(Table1[[#This Row],[Issue date]],Table1[[#This Row],[Maturity date]],Table1[[#This Row],[Current coupon %]],Table1[[#This Row],[Average Cluster Yield]],100,Table1[[#This Row],[Coupon Frequency2]])*Table1[[#This Row],[Face value]]/100</f>
        <v>973.88542649689816</v>
      </c>
      <c r="AC91" s="27" t="str">
        <f>IF(Table1[[#This Row],[Ask Price]]&gt;Table1[[#This Row],[Calculated Bond Price]],"Rich","Cheap")</f>
        <v>Cheap</v>
      </c>
      <c r="AD91" s="28">
        <f>PRICE(Table1[[#This Row],[Issue date]],Table1[[#This Row],[Maturity date]],Table1[[#This Row],[Current coupon %]],Table1[[#This Row],[Yield (Annualised)]]+$AE$2,100,Table1[[#This Row],[Coupon Frequency2]])*Table1[[#This Row],[Face value]]/100</f>
        <v>945.62415881832567</v>
      </c>
      <c r="AE91" s="28">
        <f>PRICE(Table1[[#This Row],[Issue date]],Table1[[#This Row],[Maturity date]],Table1[[#This Row],[Current coupon %]],Table1[[#This Row],[Yield (Annualised)]]-$AE$2,100,Table1[[#This Row],[Coupon Frequency2]])*Table1[[#This Row],[Face value]]/100</f>
        <v>993.20339161260233</v>
      </c>
      <c r="AF91" s="28">
        <f>(Table1[[#This Row],[P (+ shock)]]+Table1[[#This Row],[P (-shock)]]-2*Table1[[#This Row],[Ask Price]])/(2*Table1[[#This Row],[Ask Price]]*($AE$2^2))</f>
        <v>4.2701260625805633</v>
      </c>
    </row>
    <row r="92" spans="1:32" x14ac:dyDescent="0.25">
      <c r="A92" s="21" t="s">
        <v>272</v>
      </c>
      <c r="B92" s="3" t="s">
        <v>273</v>
      </c>
      <c r="C92" s="3" t="s">
        <v>19</v>
      </c>
      <c r="D92" s="4">
        <v>45443</v>
      </c>
      <c r="E92" s="4">
        <v>47999</v>
      </c>
      <c r="F92" s="3">
        <v>1000</v>
      </c>
      <c r="G92" s="3" t="s">
        <v>20</v>
      </c>
      <c r="H92" s="3">
        <v>981.64</v>
      </c>
      <c r="I92" s="3" t="s">
        <v>20</v>
      </c>
      <c r="J92" s="3">
        <v>98.164000000000001</v>
      </c>
      <c r="K92" s="3">
        <v>2</v>
      </c>
      <c r="L92" s="5">
        <v>0.105</v>
      </c>
      <c r="M92" s="3" t="s">
        <v>21</v>
      </c>
      <c r="N92" s="3">
        <v>2082</v>
      </c>
      <c r="O92" s="6">
        <f>Table1[[#This Row],[Current coupon %]]*Table1[[#This Row],[Face value]]/Table1[[#This Row],[Ask Price]]</f>
        <v>0.10696385640356953</v>
      </c>
      <c r="P92" s="3" t="s">
        <v>25</v>
      </c>
      <c r="Q92" s="3" t="s">
        <v>22</v>
      </c>
      <c r="R92">
        <f t="shared" si="1"/>
        <v>7</v>
      </c>
      <c r="S92" s="22" cm="1">
        <f t="array" ref="S92">_xlfn.IFS(Table1[[#This Row],[Coupon frequency]]="Semi-annual",2,Table1[[#This Row],[Coupon frequency]]="Quarterly",4,Table1[[#This Row],[Coupon frequency]]="Annual",1,Table1[[#This Row],[Coupon frequency]]="Every 4 months",3,Table1[[#This Row],[Coupon frequency]]="Monthly",12)</f>
        <v>1</v>
      </c>
      <c r="T92">
        <f>Table1[[#This Row],[Term to Maturity (Years)]]*Table1[[#This Row],[Coupon Frequency2]]</f>
        <v>7</v>
      </c>
      <c r="U92">
        <f>Table1[[#This Row],[Face value]]*Table1[[#This Row],[Current coupon %]]/Table1[[#This Row],[Coupon Frequency2]]</f>
        <v>105</v>
      </c>
      <c r="V92" s="23">
        <f>RATE(Table1[[#This Row],[Total No. of Coupons]],Table1[[#This Row],[Coupon Amount]],-Table1[[#This Row],[Ask Price]],Table1[[#This Row],[Face value]])</f>
        <v>0.10888221174070981</v>
      </c>
      <c r="W92" s="24">
        <f>Table1[[#This Row],[IRR]]*Table1[[#This Row],[Coupon Frequency2]]</f>
        <v>0.10888221174070981</v>
      </c>
      <c r="X92" s="25" cm="1">
        <f t="array" ref="X9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2" s="26">
        <f>DURATION(Table1[[#This Row],[Issue date]],Table1[[#This Row],[Maturity date]],Table1[[#This Row],[Current coupon %]],Table1[[#This Row],[Yield (Annualised)]],Table1[[#This Row],[Coupon Frequency2]])</f>
        <v>5.2751303859572589</v>
      </c>
      <c r="Z92" s="26">
        <f>Table1[[#This Row],[Macaulay Duration in Years]]/(1+Table1[[#This Row],[IRR]])</f>
        <v>4.7571602557104988</v>
      </c>
      <c r="AA92" s="27">
        <f>VLOOKUP(Table1[[#This Row],[Yield Cluster]],'[1]Cluster Details'!$B$3:$C$16,2,0)</f>
        <v>0.11069942689191503</v>
      </c>
      <c r="AB92" s="28">
        <f>PRICE(Table1[[#This Row],[Issue date]],Table1[[#This Row],[Maturity date]],Table1[[#This Row],[Current coupon %]],Table1[[#This Row],[Average Cluster Yield]],100,Table1[[#This Row],[Coupon Frequency2]])*Table1[[#This Row],[Face value]]/100</f>
        <v>973.20376409209189</v>
      </c>
      <c r="AC92" s="27" t="str">
        <f>IF(Table1[[#This Row],[Ask Price]]&gt;Table1[[#This Row],[Calculated Bond Price]],"Rich","Cheap")</f>
        <v>Rich</v>
      </c>
      <c r="AD92" s="28">
        <f>PRICE(Table1[[#This Row],[Issue date]],Table1[[#This Row],[Maturity date]],Table1[[#This Row],[Current coupon %]],Table1[[#This Row],[Yield (Annualised)]]+$AE$2,100,Table1[[#This Row],[Coupon Frequency2]])*Table1[[#This Row],[Face value]]/100</f>
        <v>936.41977270331688</v>
      </c>
      <c r="AE92" s="28">
        <f>PRICE(Table1[[#This Row],[Issue date]],Table1[[#This Row],[Maturity date]],Table1[[#This Row],[Current coupon %]],Table1[[#This Row],[Yield (Annualised)]]-$AE$2,100,Table1[[#This Row],[Coupon Frequency2]])*Table1[[#This Row],[Face value]]/100</f>
        <v>1029.8938841274392</v>
      </c>
      <c r="AF92" s="28">
        <f>(Table1[[#This Row],[P (+ shock)]]+Table1[[#This Row],[P (-shock)]]-2*Table1[[#This Row],[Ask Price]])/(2*Table1[[#This Row],[Ask Price]]*($AE$2^2))</f>
        <v>15.451982553461272</v>
      </c>
    </row>
    <row r="93" spans="1:32" x14ac:dyDescent="0.25">
      <c r="A93" s="21" t="s">
        <v>274</v>
      </c>
      <c r="B93" s="3" t="s">
        <v>225</v>
      </c>
      <c r="C93" s="3" t="s">
        <v>19</v>
      </c>
      <c r="D93" s="4">
        <v>45777</v>
      </c>
      <c r="E93" s="4">
        <v>49429</v>
      </c>
      <c r="F93" s="3">
        <v>1000</v>
      </c>
      <c r="G93" s="3" t="s">
        <v>20</v>
      </c>
      <c r="H93" s="3">
        <v>1029</v>
      </c>
      <c r="I93" s="3" t="s">
        <v>20</v>
      </c>
      <c r="J93" s="3">
        <v>102.899999999999</v>
      </c>
      <c r="K93" s="3">
        <v>6</v>
      </c>
      <c r="L93" s="5">
        <v>0.11</v>
      </c>
      <c r="M93" s="3" t="s">
        <v>21</v>
      </c>
      <c r="N93" s="3">
        <v>3512</v>
      </c>
      <c r="O93" s="6">
        <f>Table1[[#This Row],[Current coupon %]]*Table1[[#This Row],[Face value]]/Table1[[#This Row],[Ask Price]]</f>
        <v>0.10689990281827016</v>
      </c>
      <c r="P93" s="3"/>
      <c r="Q93" s="3" t="s">
        <v>22</v>
      </c>
      <c r="R93">
        <f t="shared" si="1"/>
        <v>10</v>
      </c>
      <c r="S93" s="22" cm="1">
        <f t="array" ref="S93">_xlfn.IFS(Table1[[#This Row],[Coupon frequency]]="Semi-annual",2,Table1[[#This Row],[Coupon frequency]]="Quarterly",4,Table1[[#This Row],[Coupon frequency]]="Annual",1,Table1[[#This Row],[Coupon frequency]]="Every 4 months",3,Table1[[#This Row],[Coupon frequency]]="Monthly",12)</f>
        <v>1</v>
      </c>
      <c r="T93">
        <f>Table1[[#This Row],[Term to Maturity (Years)]]*Table1[[#This Row],[Coupon Frequency2]]</f>
        <v>10</v>
      </c>
      <c r="U93">
        <f>Table1[[#This Row],[Face value]]*Table1[[#This Row],[Current coupon %]]/Table1[[#This Row],[Coupon Frequency2]]</f>
        <v>110</v>
      </c>
      <c r="V93" s="23">
        <f>RATE(Table1[[#This Row],[Total No. of Coupons]],Table1[[#This Row],[Coupon Amount]],-Table1[[#This Row],[Ask Price]],Table1[[#This Row],[Face value]])</f>
        <v>0.10517495698937245</v>
      </c>
      <c r="W93" s="24">
        <f>Table1[[#This Row],[IRR]]*Table1[[#This Row],[Coupon Frequency2]]</f>
        <v>0.10517495698937245</v>
      </c>
      <c r="X93" s="25" cm="1">
        <f t="array" ref="X9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3" s="26">
        <f>DURATION(Table1[[#This Row],[Issue date]],Table1[[#This Row],[Maturity date]],Table1[[#This Row],[Current coupon %]],Table1[[#This Row],[Yield (Annualised)]],Table1[[#This Row],[Coupon Frequency2]])</f>
        <v>6.5873767444431746</v>
      </c>
      <c r="Z93" s="26">
        <f>Table1[[#This Row],[Macaulay Duration in Years]]/(1+Table1[[#This Row],[IRR]])</f>
        <v>5.9604831821270805</v>
      </c>
      <c r="AA93" s="27">
        <f>VLOOKUP(Table1[[#This Row],[Yield Cluster]],'[1]Cluster Details'!$B$3:$C$16,2,0)</f>
        <v>0.11069942689191503</v>
      </c>
      <c r="AB93" s="28">
        <f>PRICE(Table1[[#This Row],[Issue date]],Table1[[#This Row],[Maturity date]],Table1[[#This Row],[Current coupon %]],Table1[[#This Row],[Average Cluster Yield]],100,Table1[[#This Row],[Coupon Frequency2]])*Table1[[#This Row],[Face value]]/100</f>
        <v>995.89296541778106</v>
      </c>
      <c r="AC93" s="27" t="str">
        <f>IF(Table1[[#This Row],[Ask Price]]&gt;Table1[[#This Row],[Calculated Bond Price]],"Rich","Cheap")</f>
        <v>Rich</v>
      </c>
      <c r="AD93" s="28">
        <f>PRICE(Table1[[#This Row],[Issue date]],Table1[[#This Row],[Maturity date]],Table1[[#This Row],[Current coupon %]],Table1[[#This Row],[Yield (Annualised)]]+$AE$2,100,Table1[[#This Row],[Coupon Frequency2]])*Table1[[#This Row],[Face value]]/100</f>
        <v>970.173656972348</v>
      </c>
      <c r="AE93" s="28">
        <f>PRICE(Table1[[#This Row],[Issue date]],Table1[[#This Row],[Maturity date]],Table1[[#This Row],[Current coupon %]],Table1[[#This Row],[Yield (Annualised)]]-$AE$2,100,Table1[[#This Row],[Coupon Frequency2]])*Table1[[#This Row],[Face value]]/100</f>
        <v>1093.0126771900793</v>
      </c>
      <c r="AF93" s="28">
        <f>(Table1[[#This Row],[P (+ shock)]]+Table1[[#This Row],[P (-shock)]]-2*Table1[[#This Row],[Ask Price]])/(2*Table1[[#This Row],[Ask Price]]*($AE$2^2))</f>
        <v>25.200846270299106</v>
      </c>
    </row>
    <row r="94" spans="1:32" x14ac:dyDescent="0.25">
      <c r="A94" s="21" t="s">
        <v>275</v>
      </c>
      <c r="B94" s="3" t="s">
        <v>276</v>
      </c>
      <c r="C94" s="3" t="s">
        <v>19</v>
      </c>
      <c r="D94" s="4">
        <v>45476</v>
      </c>
      <c r="E94" s="4">
        <v>49128</v>
      </c>
      <c r="F94" s="3">
        <v>1000</v>
      </c>
      <c r="G94" s="3" t="s">
        <v>20</v>
      </c>
      <c r="H94" s="3">
        <v>1000</v>
      </c>
      <c r="I94" s="3" t="s">
        <v>20</v>
      </c>
      <c r="J94" s="3">
        <v>100</v>
      </c>
      <c r="K94" s="3">
        <v>39</v>
      </c>
      <c r="L94" s="5">
        <v>0.1075</v>
      </c>
      <c r="M94" s="3" t="s">
        <v>21</v>
      </c>
      <c r="N94" s="3">
        <v>3211</v>
      </c>
      <c r="O94" s="6">
        <f>Table1[[#This Row],[Current coupon %]]*Table1[[#This Row],[Face value]]/Table1[[#This Row],[Ask Price]]</f>
        <v>0.1075</v>
      </c>
      <c r="P94" s="3"/>
      <c r="Q94" s="3" t="s">
        <v>22</v>
      </c>
      <c r="R94">
        <f t="shared" si="1"/>
        <v>10</v>
      </c>
      <c r="S94" s="22" cm="1">
        <f t="array" ref="S94">_xlfn.IFS(Table1[[#This Row],[Coupon frequency]]="Semi-annual",2,Table1[[#This Row],[Coupon frequency]]="Quarterly",4,Table1[[#This Row],[Coupon frequency]]="Annual",1,Table1[[#This Row],[Coupon frequency]]="Every 4 months",3,Table1[[#This Row],[Coupon frequency]]="Monthly",12)</f>
        <v>1</v>
      </c>
      <c r="T94">
        <f>Table1[[#This Row],[Term to Maturity (Years)]]*Table1[[#This Row],[Coupon Frequency2]]</f>
        <v>10</v>
      </c>
      <c r="U94">
        <f>Table1[[#This Row],[Face value]]*Table1[[#This Row],[Current coupon %]]/Table1[[#This Row],[Coupon Frequency2]]</f>
        <v>107.5</v>
      </c>
      <c r="V94" s="23">
        <f>RATE(Table1[[#This Row],[Total No. of Coupons]],Table1[[#This Row],[Coupon Amount]],-Table1[[#This Row],[Ask Price]],Table1[[#This Row],[Face value]])</f>
        <v>0.10750000000128665</v>
      </c>
      <c r="W94" s="24">
        <f>Table1[[#This Row],[IRR]]*Table1[[#This Row],[Coupon Frequency2]]</f>
        <v>0.10750000000128665</v>
      </c>
      <c r="X94" s="25" cm="1">
        <f t="array" ref="X9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4" s="26">
        <f>DURATION(Table1[[#This Row],[Issue date]],Table1[[#This Row],[Maturity date]],Table1[[#This Row],[Current coupon %]],Table1[[#This Row],[Yield (Annualised)]],Table1[[#This Row],[Coupon Frequency2]])</f>
        <v>6.5912660456966163</v>
      </c>
      <c r="Z94" s="26">
        <f>Table1[[#This Row],[Macaulay Duration in Years]]/(1+Table1[[#This Row],[IRR]])</f>
        <v>5.9514817568297591</v>
      </c>
      <c r="AA94" s="27">
        <f>VLOOKUP(Table1[[#This Row],[Yield Cluster]],'[1]Cluster Details'!$B$3:$C$16,2,0)</f>
        <v>0.11069942689191503</v>
      </c>
      <c r="AB94" s="28">
        <f>PRICE(Table1[[#This Row],[Issue date]],Table1[[#This Row],[Maturity date]],Table1[[#This Row],[Current coupon %]],Table1[[#This Row],[Average Cluster Yield]],100,Table1[[#This Row],[Coupon Frequency2]])*Table1[[#This Row],[Face value]]/100</f>
        <v>981.21296587210452</v>
      </c>
      <c r="AC94" s="27" t="str">
        <f>IF(Table1[[#This Row],[Ask Price]]&gt;Table1[[#This Row],[Calculated Bond Price]],"Rich","Cheap")</f>
        <v>Rich</v>
      </c>
      <c r="AD94" s="28">
        <f>PRICE(Table1[[#This Row],[Issue date]],Table1[[#This Row],[Maturity date]],Table1[[#This Row],[Current coupon %]],Table1[[#This Row],[Yield (Annualised)]]+$AE$2,100,Table1[[#This Row],[Coupon Frequency2]])*Table1[[#This Row],[Face value]]/100</f>
        <v>942.91482252857691</v>
      </c>
      <c r="AE94" s="28">
        <f>PRICE(Table1[[#This Row],[Issue date]],Table1[[#This Row],[Maturity date]],Table1[[#This Row],[Current coupon %]],Table1[[#This Row],[Yield (Annualised)]]-$AE$2,100,Table1[[#This Row],[Coupon Frequency2]])*Table1[[#This Row],[Face value]]/100</f>
        <v>1062.1111621061971</v>
      </c>
      <c r="AF94" s="28">
        <f>(Table1[[#This Row],[P (+ shock)]]+Table1[[#This Row],[P (-shock)]]-2*Table1[[#This Row],[Ask Price]])/(2*Table1[[#This Row],[Ask Price]]*($AE$2^2))</f>
        <v>25.129923173869884</v>
      </c>
    </row>
    <row r="95" spans="1:32" x14ac:dyDescent="0.25">
      <c r="A95" s="21" t="s">
        <v>277</v>
      </c>
      <c r="B95" s="3" t="s">
        <v>278</v>
      </c>
      <c r="C95" s="3" t="s">
        <v>19</v>
      </c>
      <c r="D95" s="4">
        <v>45125</v>
      </c>
      <c r="E95" s="4">
        <v>45948</v>
      </c>
      <c r="F95" s="3">
        <v>1000</v>
      </c>
      <c r="G95" s="3" t="s">
        <v>20</v>
      </c>
      <c r="H95" s="3">
        <v>1007.45</v>
      </c>
      <c r="I95" s="3" t="s">
        <v>20</v>
      </c>
      <c r="J95" s="3">
        <v>100.744999999999</v>
      </c>
      <c r="K95" s="3">
        <v>1</v>
      </c>
      <c r="L95" s="5">
        <v>0.1075</v>
      </c>
      <c r="M95" s="3" t="s">
        <v>21</v>
      </c>
      <c r="N95" s="3">
        <v>31</v>
      </c>
      <c r="O95" s="6">
        <f>Table1[[#This Row],[Current coupon %]]*Table1[[#This Row],[Face value]]/Table1[[#This Row],[Ask Price]]</f>
        <v>0.10670504739689314</v>
      </c>
      <c r="P95" s="3"/>
      <c r="Q95" s="3" t="s">
        <v>22</v>
      </c>
      <c r="R95">
        <f t="shared" si="1"/>
        <v>2</v>
      </c>
      <c r="S95" s="22" cm="1">
        <f t="array" ref="S95">_xlfn.IFS(Table1[[#This Row],[Coupon frequency]]="Semi-annual",2,Table1[[#This Row],[Coupon frequency]]="Quarterly",4,Table1[[#This Row],[Coupon frequency]]="Annual",1,Table1[[#This Row],[Coupon frequency]]="Every 4 months",3,Table1[[#This Row],[Coupon frequency]]="Monthly",12)</f>
        <v>1</v>
      </c>
      <c r="T95">
        <f>Table1[[#This Row],[Term to Maturity (Years)]]*Table1[[#This Row],[Coupon Frequency2]]</f>
        <v>2</v>
      </c>
      <c r="U95">
        <f>Table1[[#This Row],[Face value]]*Table1[[#This Row],[Current coupon %]]/Table1[[#This Row],[Coupon Frequency2]]</f>
        <v>107.5</v>
      </c>
      <c r="V95" s="23">
        <f>RATE(Table1[[#This Row],[Total No. of Coupons]],Table1[[#This Row],[Coupon Amount]],-Table1[[#This Row],[Ask Price]],Table1[[#This Row],[Face value]])</f>
        <v>0.10318900203491936</v>
      </c>
      <c r="W95" s="24">
        <f>Table1[[#This Row],[IRR]]*Table1[[#This Row],[Coupon Frequency2]]</f>
        <v>0.10318900203491936</v>
      </c>
      <c r="X95" s="25" cm="1">
        <f t="array" ref="X9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5" s="26">
        <f>DURATION(Table1[[#This Row],[Issue date]],Table1[[#This Row],[Maturity date]],Table1[[#This Row],[Current coupon %]],Table1[[#This Row],[Yield (Annualised)]],Table1[[#This Row],[Coupon Frequency2]])</f>
        <v>1.9697679077121091</v>
      </c>
      <c r="Z95" s="26">
        <f>Table1[[#This Row],[Macaulay Duration in Years]]/(1+Table1[[#This Row],[IRR]])</f>
        <v>1.785521704874429</v>
      </c>
      <c r="AA95" s="27">
        <f>VLOOKUP(Table1[[#This Row],[Yield Cluster]],'[1]Cluster Details'!$B$3:$C$16,2,0)</f>
        <v>0.11069942689191503</v>
      </c>
      <c r="AB95" s="28">
        <f>PRICE(Table1[[#This Row],[Issue date]],Table1[[#This Row],[Maturity date]],Table1[[#This Row],[Current coupon %]],Table1[[#This Row],[Average Cluster Yield]],100,Table1[[#This Row],[Coupon Frequency2]])*Table1[[#This Row],[Face value]]/100</f>
        <v>992.85189298842818</v>
      </c>
      <c r="AC95" s="27" t="str">
        <f>IF(Table1[[#This Row],[Ask Price]]&gt;Table1[[#This Row],[Calculated Bond Price]],"Rich","Cheap")</f>
        <v>Rich</v>
      </c>
      <c r="AD95" s="28">
        <f>PRICE(Table1[[#This Row],[Issue date]],Table1[[#This Row],[Maturity date]],Table1[[#This Row],[Current coupon %]],Table1[[#This Row],[Yield (Annualised)]]+$AE$2,100,Table1[[#This Row],[Coupon Frequency2]])*Table1[[#This Row],[Face value]]/100</f>
        <v>988.13557848849382</v>
      </c>
      <c r="AE95" s="28">
        <f>PRICE(Table1[[#This Row],[Issue date]],Table1[[#This Row],[Maturity date]],Table1[[#This Row],[Current coupon %]],Table1[[#This Row],[Yield (Annualised)]]-$AE$2,100,Table1[[#This Row],[Coupon Frequency2]])*Table1[[#This Row],[Face value]]/100</f>
        <v>1026.9923978822524</v>
      </c>
      <c r="AF95" s="28">
        <f>(Table1[[#This Row],[P (+ shock)]]+Table1[[#This Row],[P (-shock)]]-2*Table1[[#This Row],[Ask Price]])/(2*Table1[[#This Row],[Ask Price]]*($AE$2^2))</f>
        <v>1.1314525323643432</v>
      </c>
    </row>
    <row r="96" spans="1:32" x14ac:dyDescent="0.25">
      <c r="A96" s="21" t="s">
        <v>279</v>
      </c>
      <c r="B96" s="3" t="s">
        <v>280</v>
      </c>
      <c r="C96" s="3" t="s">
        <v>19</v>
      </c>
      <c r="D96" s="4">
        <v>44995</v>
      </c>
      <c r="E96" s="4">
        <v>46821</v>
      </c>
      <c r="F96" s="3">
        <v>1000</v>
      </c>
      <c r="G96" s="3" t="s">
        <v>20</v>
      </c>
      <c r="H96" s="3">
        <v>1007.97</v>
      </c>
      <c r="I96" s="3" t="s">
        <v>20</v>
      </c>
      <c r="J96" s="3">
        <v>100.797</v>
      </c>
      <c r="K96" s="3">
        <v>1</v>
      </c>
      <c r="L96" s="5">
        <v>0.1075</v>
      </c>
      <c r="M96" s="3" t="s">
        <v>21</v>
      </c>
      <c r="N96" s="3">
        <v>904</v>
      </c>
      <c r="O96" s="6">
        <f>Table1[[#This Row],[Current coupon %]]*Table1[[#This Row],[Face value]]/Table1[[#This Row],[Ask Price]]</f>
        <v>0.10664999950395349</v>
      </c>
      <c r="P96" s="3"/>
      <c r="Q96" s="3" t="s">
        <v>22</v>
      </c>
      <c r="R96">
        <f t="shared" si="1"/>
        <v>5</v>
      </c>
      <c r="S96" s="22" cm="1">
        <f t="array" ref="S96">_xlfn.IFS(Table1[[#This Row],[Coupon frequency]]="Semi-annual",2,Table1[[#This Row],[Coupon frequency]]="Quarterly",4,Table1[[#This Row],[Coupon frequency]]="Annual",1,Table1[[#This Row],[Coupon frequency]]="Every 4 months",3,Table1[[#This Row],[Coupon frequency]]="Monthly",12)</f>
        <v>1</v>
      </c>
      <c r="T96">
        <f>Table1[[#This Row],[Term to Maturity (Years)]]*Table1[[#This Row],[Coupon Frequency2]]</f>
        <v>5</v>
      </c>
      <c r="U96">
        <f>Table1[[#This Row],[Face value]]*Table1[[#This Row],[Current coupon %]]/Table1[[#This Row],[Coupon Frequency2]]</f>
        <v>107.5</v>
      </c>
      <c r="V96" s="23">
        <f>RATE(Table1[[#This Row],[Total No. of Coupons]],Table1[[#This Row],[Coupon Amount]],-Table1[[#This Row],[Ask Price]],Table1[[#This Row],[Face value]])</f>
        <v>0.10536862112680748</v>
      </c>
      <c r="W96" s="24">
        <f>Table1[[#This Row],[IRR]]*Table1[[#This Row],[Coupon Frequency2]]</f>
        <v>0.10536862112680748</v>
      </c>
      <c r="X96" s="25" cm="1">
        <f t="array" ref="X9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6" s="26">
        <f>DURATION(Table1[[#This Row],[Issue date]],Table1[[#This Row],[Maturity date]],Table1[[#This Row],[Current coupon %]],Table1[[#This Row],[Yield (Annualised)]],Table1[[#This Row],[Coupon Frequency2]])</f>
        <v>4.12005815932622</v>
      </c>
      <c r="Z96" s="26">
        <f>Table1[[#This Row],[Macaulay Duration in Years]]/(1+Table1[[#This Row],[IRR]])</f>
        <v>3.7273160107677494</v>
      </c>
      <c r="AA96" s="27">
        <f>VLOOKUP(Table1[[#This Row],[Yield Cluster]],'[1]Cluster Details'!$B$3:$C$16,2,0)</f>
        <v>0.11069942689191503</v>
      </c>
      <c r="AB96" s="28">
        <f>PRICE(Table1[[#This Row],[Issue date]],Table1[[#This Row],[Maturity date]],Table1[[#This Row],[Current coupon %]],Table1[[#This Row],[Average Cluster Yield]],100,Table1[[#This Row],[Coupon Frequency2]])*Table1[[#This Row],[Face value]]/100</f>
        <v>988.18565032841229</v>
      </c>
      <c r="AC96" s="27" t="str">
        <f>IF(Table1[[#This Row],[Ask Price]]&gt;Table1[[#This Row],[Calculated Bond Price]],"Rich","Cheap")</f>
        <v>Rich</v>
      </c>
      <c r="AD96" s="28">
        <f>PRICE(Table1[[#This Row],[Issue date]],Table1[[#This Row],[Maturity date]],Table1[[#This Row],[Current coupon %]],Table1[[#This Row],[Yield (Annualised)]]+$AE$2,100,Table1[[#This Row],[Coupon Frequency2]])*Table1[[#This Row],[Face value]]/100</f>
        <v>971.30292480820981</v>
      </c>
      <c r="AE96" s="28">
        <f>PRICE(Table1[[#This Row],[Issue date]],Table1[[#This Row],[Maturity date]],Table1[[#This Row],[Current coupon %]],Table1[[#This Row],[Yield (Annualised)]]-$AE$2,100,Table1[[#This Row],[Coupon Frequency2]])*Table1[[#This Row],[Face value]]/100</f>
        <v>1046.5030167425489</v>
      </c>
      <c r="AF96" s="28">
        <f>(Table1[[#This Row],[P (+ shock)]]+Table1[[#This Row],[P (-shock)]]-2*Table1[[#This Row],[Ask Price]])/(2*Table1[[#This Row],[Ask Price]]*($AE$2^2))</f>
        <v>9.2559379285030019</v>
      </c>
    </row>
    <row r="97" spans="1:32" x14ac:dyDescent="0.25">
      <c r="A97" s="21" t="s">
        <v>281</v>
      </c>
      <c r="B97" s="3" t="s">
        <v>282</v>
      </c>
      <c r="C97" s="3" t="s">
        <v>19</v>
      </c>
      <c r="D97" s="4">
        <v>45231</v>
      </c>
      <c r="E97" s="4">
        <v>46276</v>
      </c>
      <c r="F97" s="3">
        <v>100000</v>
      </c>
      <c r="G97" s="3" t="s">
        <v>20</v>
      </c>
      <c r="H97" s="3">
        <v>104500</v>
      </c>
      <c r="I97" s="3" t="s">
        <v>20</v>
      </c>
      <c r="J97" s="3">
        <v>104.5</v>
      </c>
      <c r="K97" s="3">
        <v>50</v>
      </c>
      <c r="L97" s="5">
        <v>0.13</v>
      </c>
      <c r="M97" s="3" t="s">
        <v>53</v>
      </c>
      <c r="N97" s="3">
        <v>359</v>
      </c>
      <c r="O97" s="6">
        <f>Table1[[#This Row],[Current coupon %]]*Table1[[#This Row],[Face value]]/Table1[[#This Row],[Ask Price]]</f>
        <v>0.12440191387559808</v>
      </c>
      <c r="P97" s="3"/>
      <c r="Q97" s="3" t="s">
        <v>22</v>
      </c>
      <c r="R97">
        <f t="shared" si="1"/>
        <v>3</v>
      </c>
      <c r="S97" s="22" cm="1">
        <f t="array" ref="S97">_xlfn.IFS(Table1[[#This Row],[Coupon frequency]]="Semi-annual",2,Table1[[#This Row],[Coupon frequency]]="Quarterly",4,Table1[[#This Row],[Coupon frequency]]="Annual",1,Table1[[#This Row],[Coupon frequency]]="Every 4 months",3,Table1[[#This Row],[Coupon frequency]]="Monthly",12)</f>
        <v>2</v>
      </c>
      <c r="T97">
        <f>Table1[[#This Row],[Term to Maturity (Years)]]*Table1[[#This Row],[Coupon Frequency2]]</f>
        <v>6</v>
      </c>
      <c r="U97">
        <f>Table1[[#This Row],[Face value]]*Table1[[#This Row],[Current coupon %]]/Table1[[#This Row],[Coupon Frequency2]]</f>
        <v>6500</v>
      </c>
      <c r="V97" s="23">
        <f>RATE(Table1[[#This Row],[Total No. of Coupons]],Table1[[#This Row],[Coupon Amount]],-Table1[[#This Row],[Ask Price]],Table1[[#This Row],[Face value]])</f>
        <v>5.5964391999171935E-2</v>
      </c>
      <c r="W97" s="24">
        <f>Table1[[#This Row],[IRR]]*Table1[[#This Row],[Coupon Frequency2]]</f>
        <v>0.11192878399834387</v>
      </c>
      <c r="X97" s="25" cm="1">
        <f t="array" ref="X9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7" s="26">
        <f>DURATION(Table1[[#This Row],[Issue date]],Table1[[#This Row],[Maturity date]],Table1[[#This Row],[Current coupon %]],Table1[[#This Row],[Yield (Annualised)]],Table1[[#This Row],[Coupon Frequency2]])</f>
        <v>2.449331611822811</v>
      </c>
      <c r="Z97" s="26">
        <f>Table1[[#This Row],[Macaulay Duration in Years]]/(1+Table1[[#This Row],[IRR]])</f>
        <v>2.3195210277741372</v>
      </c>
      <c r="AA97" s="27">
        <f>VLOOKUP(Table1[[#This Row],[Yield Cluster]],'[1]Cluster Details'!$B$3:$C$16,2,0)</f>
        <v>0.11069942689191503</v>
      </c>
      <c r="AB97" s="28">
        <f>PRICE(Table1[[#This Row],[Issue date]],Table1[[#This Row],[Maturity date]],Table1[[#This Row],[Current coupon %]],Table1[[#This Row],[Average Cluster Yield]],100,Table1[[#This Row],[Coupon Frequency2]])*Table1[[#This Row],[Face value]]/100</f>
        <v>104590.24098261162</v>
      </c>
      <c r="AC97" s="27" t="str">
        <f>IF(Table1[[#This Row],[Ask Price]]&gt;Table1[[#This Row],[Calculated Bond Price]],"Rich","Cheap")</f>
        <v>Cheap</v>
      </c>
      <c r="AD97" s="28">
        <f>PRICE(Table1[[#This Row],[Issue date]],Table1[[#This Row],[Maturity date]],Table1[[#This Row],[Current coupon %]],Table1[[#This Row],[Yield (Annualised)]]+$AE$2,100,Table1[[#This Row],[Coupon Frequency2]])*Table1[[#This Row],[Face value]]/100</f>
        <v>101863.10334573853</v>
      </c>
      <c r="AE97" s="28">
        <f>PRICE(Table1[[#This Row],[Issue date]],Table1[[#This Row],[Maturity date]],Table1[[#This Row],[Current coupon %]],Table1[[#This Row],[Yield (Annualised)]]-$AE$2,100,Table1[[#This Row],[Coupon Frequency2]])*Table1[[#This Row],[Face value]]/100</f>
        <v>106785.67359584745</v>
      </c>
      <c r="AF97" s="28">
        <f>(Table1[[#This Row],[P (+ shock)]]+Table1[[#This Row],[P (-shock)]]-2*Table1[[#This Row],[Ask Price]])/(2*Table1[[#This Row],[Ask Price]]*($AE$2^2))</f>
        <v>-16.80493102459355</v>
      </c>
    </row>
    <row r="98" spans="1:32" x14ac:dyDescent="0.25">
      <c r="A98" s="21" t="s">
        <v>283</v>
      </c>
      <c r="B98" s="3" t="s">
        <v>284</v>
      </c>
      <c r="C98" s="3" t="s">
        <v>19</v>
      </c>
      <c r="D98" s="4">
        <v>45870</v>
      </c>
      <c r="E98" s="4">
        <v>48427</v>
      </c>
      <c r="F98" s="3">
        <v>1000</v>
      </c>
      <c r="G98" s="3" t="s">
        <v>20</v>
      </c>
      <c r="H98" s="3">
        <v>924.7</v>
      </c>
      <c r="I98" s="3" t="s">
        <v>20</v>
      </c>
      <c r="J98" s="3">
        <v>92.47</v>
      </c>
      <c r="K98" s="3">
        <v>20</v>
      </c>
      <c r="L98" s="5">
        <v>9.849999999999999E-2</v>
      </c>
      <c r="M98" s="3" t="s">
        <v>21</v>
      </c>
      <c r="N98" s="3">
        <v>2510</v>
      </c>
      <c r="O98" s="6">
        <f>Table1[[#This Row],[Current coupon %]]*Table1[[#This Row],[Face value]]/Table1[[#This Row],[Ask Price]]</f>
        <v>0.10652103384881581</v>
      </c>
      <c r="P98" s="3" t="s">
        <v>25</v>
      </c>
      <c r="Q98" s="3" t="s">
        <v>22</v>
      </c>
      <c r="R98">
        <f t="shared" si="1"/>
        <v>7</v>
      </c>
      <c r="S98" s="22" cm="1">
        <f t="array" ref="S98">_xlfn.IFS(Table1[[#This Row],[Coupon frequency]]="Semi-annual",2,Table1[[#This Row],[Coupon frequency]]="Quarterly",4,Table1[[#This Row],[Coupon frequency]]="Annual",1,Table1[[#This Row],[Coupon frequency]]="Every 4 months",3,Table1[[#This Row],[Coupon frequency]]="Monthly",12)</f>
        <v>1</v>
      </c>
      <c r="T98">
        <f>Table1[[#This Row],[Term to Maturity (Years)]]*Table1[[#This Row],[Coupon Frequency2]]</f>
        <v>7</v>
      </c>
      <c r="U98">
        <f>Table1[[#This Row],[Face value]]*Table1[[#This Row],[Current coupon %]]/Table1[[#This Row],[Coupon Frequency2]]</f>
        <v>98.499999999999986</v>
      </c>
      <c r="V98" s="23">
        <f>RATE(Table1[[#This Row],[Total No. of Coupons]],Table1[[#This Row],[Coupon Amount]],-Table1[[#This Row],[Ask Price]],Table1[[#This Row],[Face value]])</f>
        <v>0.11472450862406341</v>
      </c>
      <c r="W98" s="24">
        <f>Table1[[#This Row],[IRR]]*Table1[[#This Row],[Coupon Frequency2]]</f>
        <v>0.11472450862406341</v>
      </c>
      <c r="X98" s="25" cm="1">
        <f t="array" ref="X9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8" s="26">
        <f>DURATION(Table1[[#This Row],[Issue date]],Table1[[#This Row],[Maturity date]],Table1[[#This Row],[Current coupon %]],Table1[[#This Row],[Yield (Annualised)]],Table1[[#This Row],[Coupon Frequency2]])</f>
        <v>5.3041775723713824</v>
      </c>
      <c r="Z98" s="26">
        <f>Table1[[#This Row],[Macaulay Duration in Years]]/(1+Table1[[#This Row],[IRR]])</f>
        <v>4.7582855955311167</v>
      </c>
      <c r="AA98" s="27">
        <f>VLOOKUP(Table1[[#This Row],[Yield Cluster]],'[1]Cluster Details'!$B$3:$C$16,2,0)</f>
        <v>0.11069942689191503</v>
      </c>
      <c r="AB98" s="28">
        <f>PRICE(Table1[[#This Row],[Issue date]],Table1[[#This Row],[Maturity date]],Table1[[#This Row],[Current coupon %]],Table1[[#This Row],[Average Cluster Yield]],100,Table1[[#This Row],[Coupon Frequency2]])*Table1[[#This Row],[Face value]]/100</f>
        <v>942.64358028686024</v>
      </c>
      <c r="AC98" s="27" t="str">
        <f>IF(Table1[[#This Row],[Ask Price]]&gt;Table1[[#This Row],[Calculated Bond Price]],"Rich","Cheap")</f>
        <v>Cheap</v>
      </c>
      <c r="AD98" s="28">
        <f>PRICE(Table1[[#This Row],[Issue date]],Table1[[#This Row],[Maturity date]],Table1[[#This Row],[Current coupon %]],Table1[[#This Row],[Yield (Annualised)]]+$AE$2,100,Table1[[#This Row],[Coupon Frequency2]])*Table1[[#This Row],[Face value]]/100</f>
        <v>882.08958654426908</v>
      </c>
      <c r="AE98" s="28">
        <f>PRICE(Table1[[#This Row],[Issue date]],Table1[[#This Row],[Maturity date]],Table1[[#This Row],[Current coupon %]],Table1[[#This Row],[Yield (Annualised)]]-$AE$2,100,Table1[[#This Row],[Coupon Frequency2]])*Table1[[#This Row],[Face value]]/100</f>
        <v>970.1621403359494</v>
      </c>
      <c r="AF98" s="28">
        <f>(Table1[[#This Row],[P (+ shock)]]+Table1[[#This Row],[P (-shock)]]-2*Table1[[#This Row],[Ask Price]])/(2*Table1[[#This Row],[Ask Price]]*($AE$2^2))</f>
        <v>15.41974089011784</v>
      </c>
    </row>
    <row r="99" spans="1:32" x14ac:dyDescent="0.25">
      <c r="A99" s="21" t="s">
        <v>285</v>
      </c>
      <c r="B99" s="3" t="s">
        <v>286</v>
      </c>
      <c r="C99" s="3" t="s">
        <v>19</v>
      </c>
      <c r="D99" s="4">
        <v>45701</v>
      </c>
      <c r="E99" s="4">
        <v>46247</v>
      </c>
      <c r="F99" s="3">
        <v>100000</v>
      </c>
      <c r="G99" s="3" t="s">
        <v>20</v>
      </c>
      <c r="H99" s="3">
        <v>101100</v>
      </c>
      <c r="I99" s="3" t="s">
        <v>20</v>
      </c>
      <c r="J99" s="3">
        <v>101.1</v>
      </c>
      <c r="K99" s="3">
        <v>3</v>
      </c>
      <c r="L99" s="5">
        <v>0.1075</v>
      </c>
      <c r="M99" s="3" t="s">
        <v>44</v>
      </c>
      <c r="N99" s="3">
        <v>330</v>
      </c>
      <c r="O99" s="6">
        <f>Table1[[#This Row],[Current coupon %]]*Table1[[#This Row],[Face value]]/Table1[[#This Row],[Ask Price]]</f>
        <v>0.10633036597428289</v>
      </c>
      <c r="P99" s="3"/>
      <c r="Q99" s="3" t="s">
        <v>22</v>
      </c>
      <c r="R99">
        <f t="shared" si="1"/>
        <v>2</v>
      </c>
      <c r="S99" s="22" cm="1">
        <f t="array" ref="S99">_xlfn.IFS(Table1[[#This Row],[Coupon frequency]]="Semi-annual",2,Table1[[#This Row],[Coupon frequency]]="Quarterly",4,Table1[[#This Row],[Coupon frequency]]="Annual",1,Table1[[#This Row],[Coupon frequency]]="Every 4 months",3,Table1[[#This Row],[Coupon frequency]]="Monthly",12)</f>
        <v>4</v>
      </c>
      <c r="T99">
        <f>Table1[[#This Row],[Term to Maturity (Years)]]*Table1[[#This Row],[Coupon Frequency2]]</f>
        <v>8</v>
      </c>
      <c r="U99">
        <f>Table1[[#This Row],[Face value]]*Table1[[#This Row],[Current coupon %]]/Table1[[#This Row],[Coupon Frequency2]]</f>
        <v>2687.5</v>
      </c>
      <c r="V99" s="23">
        <f>RATE(Table1[[#This Row],[Total No. of Coupons]],Table1[[#This Row],[Coupon Amount]],-Table1[[#This Row],[Ask Price]],Table1[[#This Row],[Face value]])</f>
        <v>2.5338643217272246E-2</v>
      </c>
      <c r="W99" s="24">
        <f>Table1[[#This Row],[IRR]]*Table1[[#This Row],[Coupon Frequency2]]</f>
        <v>0.10135457286908899</v>
      </c>
      <c r="X99" s="25" cm="1">
        <f t="array" ref="X9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99" s="26">
        <f>DURATION(Table1[[#This Row],[Issue date]],Table1[[#This Row],[Maturity date]],Table1[[#This Row],[Current coupon %]],Table1[[#This Row],[Yield (Annualised)]],Table1[[#This Row],[Coupon Frequency2]])</f>
        <v>1.4056857666794293</v>
      </c>
      <c r="Z99" s="26">
        <f>Table1[[#This Row],[Macaulay Duration in Years]]/(1+Table1[[#This Row],[IRR]])</f>
        <v>1.3709478092708152</v>
      </c>
      <c r="AA99" s="27">
        <f>VLOOKUP(Table1[[#This Row],[Yield Cluster]],'[1]Cluster Details'!$B$3:$C$16,2,0)</f>
        <v>0.11069942689191503</v>
      </c>
      <c r="AB99" s="28">
        <f>PRICE(Table1[[#This Row],[Issue date]],Table1[[#This Row],[Maturity date]],Table1[[#This Row],[Current coupon %]],Table1[[#This Row],[Average Cluster Yield]],100,Table1[[#This Row],[Coupon Frequency2]])*Table1[[#This Row],[Face value]]/100</f>
        <v>99563.343158954085</v>
      </c>
      <c r="AC99" s="27" t="str">
        <f>IF(Table1[[#This Row],[Ask Price]]&gt;Table1[[#This Row],[Calculated Bond Price]],"Rich","Cheap")</f>
        <v>Rich</v>
      </c>
      <c r="AD99" s="28">
        <f>PRICE(Table1[[#This Row],[Issue date]],Table1[[#This Row],[Maturity date]],Table1[[#This Row],[Current coupon %]],Table1[[#This Row],[Yield (Annualised)]]+$AE$2,100,Table1[[#This Row],[Coupon Frequency2]])*Table1[[#This Row],[Face value]]/100</f>
        <v>99474.215686052368</v>
      </c>
      <c r="AE99" s="28">
        <f>PRICE(Table1[[#This Row],[Issue date]],Table1[[#This Row],[Maturity date]],Table1[[#This Row],[Current coupon %]],Table1[[#This Row],[Yield (Annualised)]]-$AE$2,100,Table1[[#This Row],[Coupon Frequency2]])*Table1[[#This Row],[Face value]]/100</f>
        <v>102239.43657286154</v>
      </c>
      <c r="AF99" s="28">
        <f>(Table1[[#This Row],[P (+ shock)]]+Table1[[#This Row],[P (-shock)]]-2*Table1[[#This Row],[Ask Price]])/(2*Table1[[#This Row],[Ask Price]]*($AE$2^2))</f>
        <v>-24.052806186255889</v>
      </c>
    </row>
    <row r="100" spans="1:32" x14ac:dyDescent="0.25">
      <c r="A100" s="21" t="s">
        <v>287</v>
      </c>
      <c r="B100" s="3" t="s">
        <v>288</v>
      </c>
      <c r="C100" s="3" t="s">
        <v>19</v>
      </c>
      <c r="D100" s="4">
        <v>45411</v>
      </c>
      <c r="E100" s="4">
        <v>47237</v>
      </c>
      <c r="F100" s="3">
        <v>1000</v>
      </c>
      <c r="G100" s="3" t="s">
        <v>20</v>
      </c>
      <c r="H100" s="3">
        <v>950</v>
      </c>
      <c r="I100" s="3" t="s">
        <v>20</v>
      </c>
      <c r="J100" s="3">
        <v>95</v>
      </c>
      <c r="K100" s="3">
        <v>13</v>
      </c>
      <c r="L100" s="5">
        <v>0.10099999999999999</v>
      </c>
      <c r="M100" s="3" t="s">
        <v>21</v>
      </c>
      <c r="N100" s="3">
        <v>1320</v>
      </c>
      <c r="O100" s="6">
        <f>Table1[[#This Row],[Current coupon %]]*Table1[[#This Row],[Face value]]/Table1[[#This Row],[Ask Price]]</f>
        <v>0.1063157894736842</v>
      </c>
      <c r="P100" s="3"/>
      <c r="Q100" s="3" t="s">
        <v>22</v>
      </c>
      <c r="R100">
        <f t="shared" si="1"/>
        <v>5</v>
      </c>
      <c r="S100" s="22" cm="1">
        <f t="array" ref="S100">_xlfn.IFS(Table1[[#This Row],[Coupon frequency]]="Semi-annual",2,Table1[[#This Row],[Coupon frequency]]="Quarterly",4,Table1[[#This Row],[Coupon frequency]]="Annual",1,Table1[[#This Row],[Coupon frequency]]="Every 4 months",3,Table1[[#This Row],[Coupon frequency]]="Monthly",12)</f>
        <v>1</v>
      </c>
      <c r="T100">
        <f>Table1[[#This Row],[Term to Maturity (Years)]]*Table1[[#This Row],[Coupon Frequency2]]</f>
        <v>5</v>
      </c>
      <c r="U100">
        <f>Table1[[#This Row],[Face value]]*Table1[[#This Row],[Current coupon %]]/Table1[[#This Row],[Coupon Frequency2]]</f>
        <v>100.99999999999999</v>
      </c>
      <c r="V100" s="23">
        <f>RATE(Table1[[#This Row],[Total No. of Coupons]],Table1[[#This Row],[Coupon Amount]],-Table1[[#This Row],[Ask Price]],Table1[[#This Row],[Face value]])</f>
        <v>0.11468843551701191</v>
      </c>
      <c r="W100" s="24">
        <f>Table1[[#This Row],[IRR]]*Table1[[#This Row],[Coupon Frequency2]]</f>
        <v>0.11468843551701191</v>
      </c>
      <c r="X100" s="25" cm="1">
        <f t="array" ref="X10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0" s="26">
        <f>DURATION(Table1[[#This Row],[Issue date]],Table1[[#This Row],[Maturity date]],Table1[[#This Row],[Current coupon %]],Table1[[#This Row],[Yield (Annualised)]],Table1[[#This Row],[Coupon Frequency2]])</f>
        <v>4.1394161605709581</v>
      </c>
      <c r="Z100" s="26">
        <f>Table1[[#This Row],[Macaulay Duration in Years]]/(1+Table1[[#This Row],[IRR]])</f>
        <v>3.7135185300913478</v>
      </c>
      <c r="AA100" s="27">
        <f>VLOOKUP(Table1[[#This Row],[Yield Cluster]],'[1]Cluster Details'!$B$3:$C$16,2,0)</f>
        <v>0.11069942689191503</v>
      </c>
      <c r="AB100" s="28">
        <f>PRICE(Table1[[#This Row],[Issue date]],Table1[[#This Row],[Maturity date]],Table1[[#This Row],[Current coupon %]],Table1[[#This Row],[Average Cluster Yield]],100,Table1[[#This Row],[Coupon Frequency2]])*Table1[[#This Row],[Face value]]/100</f>
        <v>964.21490042396863</v>
      </c>
      <c r="AC100" s="27" t="str">
        <f>IF(Table1[[#This Row],[Ask Price]]&gt;Table1[[#This Row],[Calculated Bond Price]],"Rich","Cheap")</f>
        <v>Cheap</v>
      </c>
      <c r="AD100" s="28">
        <f>PRICE(Table1[[#This Row],[Issue date]],Table1[[#This Row],[Maturity date]],Table1[[#This Row],[Current coupon %]],Table1[[#This Row],[Yield (Annualised)]]+$AE$2,100,Table1[[#This Row],[Coupon Frequency2]])*Table1[[#This Row],[Face value]]/100</f>
        <v>915.59105961538751</v>
      </c>
      <c r="AE100" s="28">
        <f>PRICE(Table1[[#This Row],[Issue date]],Table1[[#This Row],[Maturity date]],Table1[[#This Row],[Current coupon %]],Table1[[#This Row],[Yield (Annualised)]]-$AE$2,100,Table1[[#This Row],[Coupon Frequency2]])*Table1[[#This Row],[Face value]]/100</f>
        <v>986.18379825525165</v>
      </c>
      <c r="AF100" s="28">
        <f>(Table1[[#This Row],[P (+ shock)]]+Table1[[#This Row],[P (-shock)]]-2*Table1[[#This Row],[Ask Price]])/(2*Table1[[#This Row],[Ask Price]]*($AE$2^2))</f>
        <v>9.3413572138902765</v>
      </c>
    </row>
    <row r="101" spans="1:32" x14ac:dyDescent="0.25">
      <c r="A101" s="21" t="s">
        <v>289</v>
      </c>
      <c r="B101" s="3" t="s">
        <v>290</v>
      </c>
      <c r="C101" s="3" t="s">
        <v>19</v>
      </c>
      <c r="D101" s="4">
        <v>45499</v>
      </c>
      <c r="E101" s="4">
        <v>47325</v>
      </c>
      <c r="F101" s="3">
        <v>1000</v>
      </c>
      <c r="G101" s="3" t="s">
        <v>20</v>
      </c>
      <c r="H101" s="3">
        <v>992</v>
      </c>
      <c r="I101" s="3" t="s">
        <v>20</v>
      </c>
      <c r="J101" s="3">
        <v>99.2</v>
      </c>
      <c r="K101" s="3">
        <v>130</v>
      </c>
      <c r="L101" s="5">
        <v>0.105</v>
      </c>
      <c r="M101" s="3" t="s">
        <v>21</v>
      </c>
      <c r="N101" s="3">
        <v>1408</v>
      </c>
      <c r="O101" s="6">
        <f>Table1[[#This Row],[Current coupon %]]*Table1[[#This Row],[Face value]]/Table1[[#This Row],[Ask Price]]</f>
        <v>0.10584677419354839</v>
      </c>
      <c r="P101" s="3"/>
      <c r="Q101" s="3" t="s">
        <v>22</v>
      </c>
      <c r="R101">
        <f t="shared" si="1"/>
        <v>5</v>
      </c>
      <c r="S101" s="22" cm="1">
        <f t="array" ref="S101">_xlfn.IFS(Table1[[#This Row],[Coupon frequency]]="Semi-annual",2,Table1[[#This Row],[Coupon frequency]]="Quarterly",4,Table1[[#This Row],[Coupon frequency]]="Annual",1,Table1[[#This Row],[Coupon frequency]]="Every 4 months",3,Table1[[#This Row],[Coupon frequency]]="Monthly",12)</f>
        <v>1</v>
      </c>
      <c r="T101">
        <f>Table1[[#This Row],[Term to Maturity (Years)]]*Table1[[#This Row],[Coupon Frequency2]]</f>
        <v>5</v>
      </c>
      <c r="U101">
        <f>Table1[[#This Row],[Face value]]*Table1[[#This Row],[Current coupon %]]/Table1[[#This Row],[Coupon Frequency2]]</f>
        <v>105</v>
      </c>
      <c r="V101" s="23">
        <f>RATE(Table1[[#This Row],[Total No. of Coupons]],Table1[[#This Row],[Coupon Amount]],-Table1[[#This Row],[Ask Price]],Table1[[#This Row],[Face value]])</f>
        <v>0.10714906062347972</v>
      </c>
      <c r="W101" s="24">
        <f>Table1[[#This Row],[IRR]]*Table1[[#This Row],[Coupon Frequency2]]</f>
        <v>0.10714906062347972</v>
      </c>
      <c r="X101" s="25" cm="1">
        <f t="array" ref="X10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1" s="26">
        <f>DURATION(Table1[[#This Row],[Issue date]],Table1[[#This Row],[Maturity date]],Table1[[#This Row],[Current coupon %]],Table1[[#This Row],[Yield (Annualised)]],Table1[[#This Row],[Coupon Frequency2]])</f>
        <v>4.1321033140156036</v>
      </c>
      <c r="Z101" s="26">
        <f>Table1[[#This Row],[Macaulay Duration in Years]]/(1+Table1[[#This Row],[IRR]])</f>
        <v>3.7322014360818332</v>
      </c>
      <c r="AA101" s="27">
        <f>VLOOKUP(Table1[[#This Row],[Yield Cluster]],'[1]Cluster Details'!$B$3:$C$16,2,0)</f>
        <v>0.11069942689191503</v>
      </c>
      <c r="AB101" s="28">
        <f>PRICE(Table1[[#This Row],[Issue date]],Table1[[#This Row],[Maturity date]],Table1[[#This Row],[Current coupon %]],Table1[[#This Row],[Average Cluster Yield]],100,Table1[[#This Row],[Coupon Frequency2]])*Table1[[#This Row],[Face value]]/100</f>
        <v>978.97251444582798</v>
      </c>
      <c r="AC101" s="27" t="str">
        <f>IF(Table1[[#This Row],[Ask Price]]&gt;Table1[[#This Row],[Calculated Bond Price]],"Rich","Cheap")</f>
        <v>Rich</v>
      </c>
      <c r="AD101" s="28">
        <f>PRICE(Table1[[#This Row],[Issue date]],Table1[[#This Row],[Maturity date]],Table1[[#This Row],[Current coupon %]],Table1[[#This Row],[Yield (Annualised)]]+$AE$2,100,Table1[[#This Row],[Coupon Frequency2]])*Table1[[#This Row],[Face value]]/100</f>
        <v>955.89427402061426</v>
      </c>
      <c r="AE101" s="28">
        <f>PRICE(Table1[[#This Row],[Issue date]],Table1[[#This Row],[Maturity date]],Table1[[#This Row],[Current coupon %]],Table1[[#This Row],[Yield (Annualised)]]-$AE$2,100,Table1[[#This Row],[Coupon Frequency2]])*Table1[[#This Row],[Face value]]/100</f>
        <v>1029.9792678560243</v>
      </c>
      <c r="AF101" s="28">
        <f>(Table1[[#This Row],[P (+ shock)]]+Table1[[#This Row],[P (-shock)]]-2*Table1[[#This Row],[Ask Price]])/(2*Table1[[#This Row],[Ask Price]]*($AE$2^2))</f>
        <v>9.4432554266062638</v>
      </c>
    </row>
    <row r="102" spans="1:32" x14ac:dyDescent="0.25">
      <c r="A102" s="21" t="s">
        <v>291</v>
      </c>
      <c r="B102" s="3" t="s">
        <v>292</v>
      </c>
      <c r="C102" s="3" t="s">
        <v>19</v>
      </c>
      <c r="D102" s="4">
        <v>45560</v>
      </c>
      <c r="E102" s="4">
        <v>47386</v>
      </c>
      <c r="F102" s="3">
        <v>1000</v>
      </c>
      <c r="G102" s="3" t="s">
        <v>20</v>
      </c>
      <c r="H102" s="3">
        <v>960</v>
      </c>
      <c r="I102" s="3" t="s">
        <v>20</v>
      </c>
      <c r="J102" s="3">
        <v>96</v>
      </c>
      <c r="K102" s="3">
        <v>20</v>
      </c>
      <c r="L102" s="5">
        <v>0.10150000000000001</v>
      </c>
      <c r="M102" s="3" t="s">
        <v>21</v>
      </c>
      <c r="N102" s="3">
        <v>1469</v>
      </c>
      <c r="O102" s="6">
        <f>Table1[[#This Row],[Current coupon %]]*Table1[[#This Row],[Face value]]/Table1[[#This Row],[Ask Price]]</f>
        <v>0.10572916666666667</v>
      </c>
      <c r="P102" s="3" t="s">
        <v>25</v>
      </c>
      <c r="Q102" s="3" t="s">
        <v>22</v>
      </c>
      <c r="R102">
        <f t="shared" si="1"/>
        <v>5</v>
      </c>
      <c r="S102" s="22" cm="1">
        <f t="array" ref="S102">_xlfn.IFS(Table1[[#This Row],[Coupon frequency]]="Semi-annual",2,Table1[[#This Row],[Coupon frequency]]="Quarterly",4,Table1[[#This Row],[Coupon frequency]]="Annual",1,Table1[[#This Row],[Coupon frequency]]="Every 4 months",3,Table1[[#This Row],[Coupon frequency]]="Monthly",12)</f>
        <v>1</v>
      </c>
      <c r="T102">
        <f>Table1[[#This Row],[Term to Maturity (Years)]]*Table1[[#This Row],[Coupon Frequency2]]</f>
        <v>5</v>
      </c>
      <c r="U102">
        <f>Table1[[#This Row],[Face value]]*Table1[[#This Row],[Current coupon %]]/Table1[[#This Row],[Coupon Frequency2]]</f>
        <v>101.5</v>
      </c>
      <c r="V102" s="23">
        <f>RATE(Table1[[#This Row],[Total No. of Coupons]],Table1[[#This Row],[Coupon Amount]],-Table1[[#This Row],[Ask Price]],Table1[[#This Row],[Face value]])</f>
        <v>0.11238789951384594</v>
      </c>
      <c r="W102" s="24">
        <f>Table1[[#This Row],[IRR]]*Table1[[#This Row],[Coupon Frequency2]]</f>
        <v>0.11238789951384594</v>
      </c>
      <c r="X102" s="25" cm="1">
        <f t="array" ref="X10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2" s="26">
        <f>DURATION(Table1[[#This Row],[Issue date]],Table1[[#This Row],[Maturity date]],Table1[[#This Row],[Current coupon %]],Table1[[#This Row],[Yield (Annualised)]],Table1[[#This Row],[Coupon Frequency2]])</f>
        <v>4.140805551645462</v>
      </c>
      <c r="Z102" s="26">
        <f>Table1[[#This Row],[Macaulay Duration in Years]]/(1+Table1[[#This Row],[IRR]])</f>
        <v>3.7224474964669656</v>
      </c>
      <c r="AA102" s="27">
        <f>VLOOKUP(Table1[[#This Row],[Yield Cluster]],'[1]Cluster Details'!$B$3:$C$16,2,0)</f>
        <v>0.11069942689191503</v>
      </c>
      <c r="AB102" s="28">
        <f>PRICE(Table1[[#This Row],[Issue date]],Table1[[#This Row],[Maturity date]],Table1[[#This Row],[Current coupon %]],Table1[[#This Row],[Average Cluster Yield]],100,Table1[[#This Row],[Coupon Frequency2]])*Table1[[#This Row],[Face value]]/100</f>
        <v>966.05960217670099</v>
      </c>
      <c r="AC102" s="27" t="str">
        <f>IF(Table1[[#This Row],[Ask Price]]&gt;Table1[[#This Row],[Calculated Bond Price]],"Rich","Cheap")</f>
        <v>Cheap</v>
      </c>
      <c r="AD102" s="28">
        <f>PRICE(Table1[[#This Row],[Issue date]],Table1[[#This Row],[Maturity date]],Table1[[#This Row],[Current coupon %]],Table1[[#This Row],[Yield (Annualised)]]+$AE$2,100,Table1[[#This Row],[Coupon Frequency2]])*Table1[[#This Row],[Face value]]/100</f>
        <v>925.14709775477604</v>
      </c>
      <c r="AE102" s="28">
        <f>PRICE(Table1[[#This Row],[Issue date]],Table1[[#This Row],[Maturity date]],Table1[[#This Row],[Current coupon %]],Table1[[#This Row],[Yield (Annualised)]]-$AE$2,100,Table1[[#This Row],[Coupon Frequency2]])*Table1[[#This Row],[Face value]]/100</f>
        <v>996.65459463108812</v>
      </c>
      <c r="AF102" s="28">
        <f>(Table1[[#This Row],[P (+ shock)]]+Table1[[#This Row],[P (-shock)]]-2*Table1[[#This Row],[Ask Price]])/(2*Table1[[#This Row],[Ask Price]]*($AE$2^2))</f>
        <v>9.3838145097085626</v>
      </c>
    </row>
    <row r="103" spans="1:32" x14ac:dyDescent="0.25">
      <c r="A103" s="21" t="s">
        <v>293</v>
      </c>
      <c r="B103" s="3" t="s">
        <v>294</v>
      </c>
      <c r="C103" s="3" t="s">
        <v>19</v>
      </c>
      <c r="D103" s="4">
        <v>45128</v>
      </c>
      <c r="E103" s="4">
        <v>48781</v>
      </c>
      <c r="F103" s="3">
        <v>1000</v>
      </c>
      <c r="G103" s="3" t="s">
        <v>20</v>
      </c>
      <c r="H103" s="3">
        <v>990</v>
      </c>
      <c r="I103" s="3" t="s">
        <v>20</v>
      </c>
      <c r="J103" s="3">
        <v>99</v>
      </c>
      <c r="K103" s="3">
        <v>11</v>
      </c>
      <c r="L103" s="5">
        <v>0.1045</v>
      </c>
      <c r="M103" s="3" t="s">
        <v>21</v>
      </c>
      <c r="N103" s="3">
        <v>2864</v>
      </c>
      <c r="O103" s="6">
        <f>Table1[[#This Row],[Current coupon %]]*Table1[[#This Row],[Face value]]/Table1[[#This Row],[Ask Price]]</f>
        <v>0.10555555555555556</v>
      </c>
      <c r="P103" s="3"/>
      <c r="Q103" s="3" t="s">
        <v>22</v>
      </c>
      <c r="R103">
        <f t="shared" si="1"/>
        <v>10</v>
      </c>
      <c r="S103" s="22" cm="1">
        <f t="array" ref="S103">_xlfn.IFS(Table1[[#This Row],[Coupon frequency]]="Semi-annual",2,Table1[[#This Row],[Coupon frequency]]="Quarterly",4,Table1[[#This Row],[Coupon frequency]]="Annual",1,Table1[[#This Row],[Coupon frequency]]="Every 4 months",3,Table1[[#This Row],[Coupon frequency]]="Monthly",12)</f>
        <v>1</v>
      </c>
      <c r="T103">
        <f>Table1[[#This Row],[Term to Maturity (Years)]]*Table1[[#This Row],[Coupon Frequency2]]</f>
        <v>10</v>
      </c>
      <c r="U103">
        <f>Table1[[#This Row],[Face value]]*Table1[[#This Row],[Current coupon %]]/Table1[[#This Row],[Coupon Frequency2]]</f>
        <v>104.5</v>
      </c>
      <c r="V103" s="23">
        <f>RATE(Table1[[#This Row],[Total No. of Coupons]],Table1[[#This Row],[Coupon Amount]],-Table1[[#This Row],[Ask Price]],Table1[[#This Row],[Face value]])</f>
        <v>0.10617084372637371</v>
      </c>
      <c r="W103" s="24">
        <f>Table1[[#This Row],[IRR]]*Table1[[#This Row],[Coupon Frequency2]]</f>
        <v>0.10617084372637371</v>
      </c>
      <c r="X103" s="25" cm="1">
        <f t="array" ref="X10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3" s="26">
        <f>DURATION(Table1[[#This Row],[Issue date]],Table1[[#This Row],[Maturity date]],Table1[[#This Row],[Current coupon %]],Table1[[#This Row],[Yield (Annualised)]],Table1[[#This Row],[Coupon Frequency2]])</f>
        <v>6.6400181858952463</v>
      </c>
      <c r="Z103" s="26">
        <f>Table1[[#This Row],[Macaulay Duration in Years]]/(1+Table1[[#This Row],[IRR]])</f>
        <v>6.0027058420080222</v>
      </c>
      <c r="AA103" s="27">
        <f>VLOOKUP(Table1[[#This Row],[Yield Cluster]],'[1]Cluster Details'!$B$3:$C$16,2,0)</f>
        <v>0.11069942689191503</v>
      </c>
      <c r="AB103" s="28">
        <f>PRICE(Table1[[#This Row],[Issue date]],Table1[[#This Row],[Maturity date]],Table1[[#This Row],[Current coupon %]],Table1[[#This Row],[Average Cluster Yield]],100,Table1[[#This Row],[Coupon Frequency2]])*Table1[[#This Row],[Face value]]/100</f>
        <v>963.59696641729215</v>
      </c>
      <c r="AC103" s="27" t="str">
        <f>IF(Table1[[#This Row],[Ask Price]]&gt;Table1[[#This Row],[Calculated Bond Price]],"Rich","Cheap")</f>
        <v>Rich</v>
      </c>
      <c r="AD103" s="28">
        <f>PRICE(Table1[[#This Row],[Issue date]],Table1[[#This Row],[Maturity date]],Table1[[#This Row],[Current coupon %]],Table1[[#This Row],[Yield (Annualised)]]+$AE$2,100,Table1[[#This Row],[Coupon Frequency2]])*Table1[[#This Row],[Face value]]/100</f>
        <v>933.01052668637931</v>
      </c>
      <c r="AE103" s="28">
        <f>PRICE(Table1[[#This Row],[Issue date]],Table1[[#This Row],[Maturity date]],Table1[[#This Row],[Current coupon %]],Table1[[#This Row],[Yield (Annualised)]]-$AE$2,100,Table1[[#This Row],[Coupon Frequency2]])*Table1[[#This Row],[Face value]]/100</f>
        <v>1052.0318856346507</v>
      </c>
      <c r="AF103" s="28">
        <f>(Table1[[#This Row],[P (+ shock)]]+Table1[[#This Row],[P (-shock)]]-2*Table1[[#This Row],[Ask Price]])/(2*Table1[[#This Row],[Ask Price]]*($AE$2^2))</f>
        <v>25.466728894091123</v>
      </c>
    </row>
    <row r="104" spans="1:32" x14ac:dyDescent="0.25">
      <c r="A104" s="21" t="s">
        <v>295</v>
      </c>
      <c r="B104" s="3" t="s">
        <v>296</v>
      </c>
      <c r="C104" s="3" t="s">
        <v>19</v>
      </c>
      <c r="D104" s="4">
        <v>43472</v>
      </c>
      <c r="E104" s="4">
        <v>47125</v>
      </c>
      <c r="F104" s="3">
        <v>1000000</v>
      </c>
      <c r="G104" s="3" t="s">
        <v>20</v>
      </c>
      <c r="H104" s="3">
        <v>862494</v>
      </c>
      <c r="I104" s="3" t="s">
        <v>20</v>
      </c>
      <c r="J104" s="3">
        <v>86.249399999999994</v>
      </c>
      <c r="K104" s="3">
        <v>170</v>
      </c>
      <c r="L104" s="5">
        <v>8.3599999999999994E-2</v>
      </c>
      <c r="M104" s="3" t="s">
        <v>21</v>
      </c>
      <c r="N104" s="3">
        <v>1208</v>
      </c>
      <c r="O104" s="6">
        <f>Table1[[#This Row],[Current coupon %]]*Table1[[#This Row],[Face value]]/Table1[[#This Row],[Ask Price]]</f>
        <v>9.692821051508764E-2</v>
      </c>
      <c r="P104" s="3" t="s">
        <v>297</v>
      </c>
      <c r="Q104" s="3" t="s">
        <v>22</v>
      </c>
      <c r="R104">
        <f t="shared" si="1"/>
        <v>10</v>
      </c>
      <c r="S104" s="22" cm="1">
        <f t="array" ref="S104">_xlfn.IFS(Table1[[#This Row],[Coupon frequency]]="Semi-annual",2,Table1[[#This Row],[Coupon frequency]]="Quarterly",4,Table1[[#This Row],[Coupon frequency]]="Annual",1,Table1[[#This Row],[Coupon frequency]]="Every 4 months",3,Table1[[#This Row],[Coupon frequency]]="Monthly",12)</f>
        <v>1</v>
      </c>
      <c r="T104">
        <f>Table1[[#This Row],[Term to Maturity (Years)]]*Table1[[#This Row],[Coupon Frequency2]]</f>
        <v>10</v>
      </c>
      <c r="U104">
        <f>Table1[[#This Row],[Face value]]*Table1[[#This Row],[Current coupon %]]/Table1[[#This Row],[Coupon Frequency2]]</f>
        <v>83600</v>
      </c>
      <c r="V104" s="23">
        <f>RATE(Table1[[#This Row],[Total No. of Coupons]],Table1[[#This Row],[Coupon Amount]],-Table1[[#This Row],[Ask Price]],Table1[[#This Row],[Face value]])</f>
        <v>0.10661866477785234</v>
      </c>
      <c r="W104" s="24">
        <f>Table1[[#This Row],[IRR]]*Table1[[#This Row],[Coupon Frequency2]]</f>
        <v>0.10661866477785234</v>
      </c>
      <c r="X104" s="25" cm="1">
        <f t="array" ref="X10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4" s="26">
        <f>DURATION(Table1[[#This Row],[Issue date]],Table1[[#This Row],[Maturity date]],Table1[[#This Row],[Current coupon %]],Table1[[#This Row],[Yield (Annualised)]],Table1[[#This Row],[Coupon Frequency2]])</f>
        <v>6.9186399444775439</v>
      </c>
      <c r="Z104" s="26">
        <f>Table1[[#This Row],[Macaulay Duration in Years]]/(1+Table1[[#This Row],[IRR]])</f>
        <v>6.2520542664680452</v>
      </c>
      <c r="AA104" s="27">
        <f>VLOOKUP(Table1[[#This Row],[Yield Cluster]],'[1]Cluster Details'!$B$3:$C$16,2,0)</f>
        <v>0.11069942689191503</v>
      </c>
      <c r="AB104" s="28">
        <f>PRICE(Table1[[#This Row],[Issue date]],Table1[[#This Row],[Maturity date]],Table1[[#This Row],[Current coupon %]],Table1[[#This Row],[Average Cluster Yield]],100,Table1[[#This Row],[Coupon Frequency2]])*Table1[[#This Row],[Face value]]/100</f>
        <v>840872.17021543439</v>
      </c>
      <c r="AC104" s="27" t="str">
        <f>IF(Table1[[#This Row],[Ask Price]]&gt;Table1[[#This Row],[Calculated Bond Price]],"Rich","Cheap")</f>
        <v>Rich</v>
      </c>
      <c r="AD104" s="28">
        <f>PRICE(Table1[[#This Row],[Issue date]],Table1[[#This Row],[Maturity date]],Table1[[#This Row],[Current coupon %]],Table1[[#This Row],[Yield (Annualised)]]+$AE$2,100,Table1[[#This Row],[Coupon Frequency2]])*Table1[[#This Row],[Face value]]/100</f>
        <v>810826.29388277943</v>
      </c>
      <c r="AE104" s="28">
        <f>PRICE(Table1[[#This Row],[Issue date]],Table1[[#This Row],[Maturity date]],Table1[[#This Row],[Current coupon %]],Table1[[#This Row],[Yield (Annualised)]]-$AE$2,100,Table1[[#This Row],[Coupon Frequency2]])*Table1[[#This Row],[Face value]]/100</f>
        <v>918830.63194521004</v>
      </c>
      <c r="AF104" s="28">
        <f>(Table1[[#This Row],[P (+ shock)]]+Table1[[#This Row],[P (-shock)]]-2*Table1[[#This Row],[Ask Price]])/(2*Table1[[#This Row],[Ask Price]]*($AE$2^2))</f>
        <v>27.066424972169976</v>
      </c>
    </row>
    <row r="105" spans="1:32" x14ac:dyDescent="0.25">
      <c r="A105" s="21" t="s">
        <v>298</v>
      </c>
      <c r="B105" s="3" t="s">
        <v>299</v>
      </c>
      <c r="C105" s="3" t="s">
        <v>19</v>
      </c>
      <c r="D105" s="4">
        <v>43622</v>
      </c>
      <c r="E105" s="4">
        <v>47275</v>
      </c>
      <c r="F105" s="3">
        <v>1000000</v>
      </c>
      <c r="G105" s="3" t="s">
        <v>20</v>
      </c>
      <c r="H105" s="3">
        <v>864000</v>
      </c>
      <c r="I105" s="3" t="s">
        <v>20</v>
      </c>
      <c r="J105" s="3">
        <v>86.4</v>
      </c>
      <c r="K105" s="3">
        <v>3</v>
      </c>
      <c r="L105" s="5">
        <v>9.1199999999999989E-2</v>
      </c>
      <c r="M105" s="3" t="s">
        <v>21</v>
      </c>
      <c r="N105" s="3">
        <v>1358</v>
      </c>
      <c r="O105" s="6">
        <f>Table1[[#This Row],[Current coupon %]]*Table1[[#This Row],[Face value]]/Table1[[#This Row],[Ask Price]]</f>
        <v>0.10555555555555554</v>
      </c>
      <c r="P105" s="3"/>
      <c r="Q105" s="3" t="s">
        <v>22</v>
      </c>
      <c r="R105">
        <f t="shared" si="1"/>
        <v>10</v>
      </c>
      <c r="S105" s="22" cm="1">
        <f t="array" ref="S105">_xlfn.IFS(Table1[[#This Row],[Coupon frequency]]="Semi-annual",2,Table1[[#This Row],[Coupon frequency]]="Quarterly",4,Table1[[#This Row],[Coupon frequency]]="Annual",1,Table1[[#This Row],[Coupon frequency]]="Every 4 months",3,Table1[[#This Row],[Coupon frequency]]="Monthly",12)</f>
        <v>1</v>
      </c>
      <c r="T105">
        <f>Table1[[#This Row],[Term to Maturity (Years)]]*Table1[[#This Row],[Coupon Frequency2]]</f>
        <v>10</v>
      </c>
      <c r="U105">
        <f>Table1[[#This Row],[Face value]]*Table1[[#This Row],[Current coupon %]]/Table1[[#This Row],[Coupon Frequency2]]</f>
        <v>91199.999999999985</v>
      </c>
      <c r="V105" s="23">
        <f>RATE(Table1[[#This Row],[Total No. of Coupons]],Table1[[#This Row],[Coupon Amount]],-Table1[[#This Row],[Ask Price]],Table1[[#This Row],[Face value]])</f>
        <v>0.11475541251782956</v>
      </c>
      <c r="W105" s="24">
        <f>Table1[[#This Row],[IRR]]*Table1[[#This Row],[Coupon Frequency2]]</f>
        <v>0.11475541251782956</v>
      </c>
      <c r="X105" s="25" cm="1">
        <f t="array" ref="X10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5" s="26">
        <f>DURATION(Table1[[#This Row],[Issue date]],Table1[[#This Row],[Maturity date]],Table1[[#This Row],[Current coupon %]],Table1[[#This Row],[Yield (Annualised)]],Table1[[#This Row],[Coupon Frequency2]])</f>
        <v>6.7218834049296596</v>
      </c>
      <c r="Z105" s="26">
        <f>Table1[[#This Row],[Macaulay Duration in Years]]/(1+Table1[[#This Row],[IRR]])</f>
        <v>6.0299177106010671</v>
      </c>
      <c r="AA105" s="27">
        <f>VLOOKUP(Table1[[#This Row],[Yield Cluster]],'[1]Cluster Details'!$B$3:$C$16,2,0)</f>
        <v>0.11069942689191503</v>
      </c>
      <c r="AB105" s="28">
        <f>PRICE(Table1[[#This Row],[Issue date]],Table1[[#This Row],[Maturity date]],Table1[[#This Row],[Current coupon %]],Table1[[#This Row],[Average Cluster Yield]],100,Table1[[#This Row],[Coupon Frequency2]])*Table1[[#This Row],[Face value]]/100</f>
        <v>885499.36883429182</v>
      </c>
      <c r="AC105" s="27" t="str">
        <f>IF(Table1[[#This Row],[Ask Price]]&gt;Table1[[#This Row],[Calculated Bond Price]],"Rich","Cheap")</f>
        <v>Cheap</v>
      </c>
      <c r="AD105" s="28">
        <f>PRICE(Table1[[#This Row],[Issue date]],Table1[[#This Row],[Maturity date]],Table1[[#This Row],[Current coupon %]],Table1[[#This Row],[Yield (Annualised)]]+$AE$2,100,Table1[[#This Row],[Coupon Frequency2]])*Table1[[#This Row],[Face value]]/100</f>
        <v>814038.85017109429</v>
      </c>
      <c r="AE105" s="28">
        <f>PRICE(Table1[[#This Row],[Issue date]],Table1[[#This Row],[Maturity date]],Table1[[#This Row],[Current coupon %]],Table1[[#This Row],[Yield (Annualised)]]-$AE$2,100,Table1[[#This Row],[Coupon Frequency2]])*Table1[[#This Row],[Face value]]/100</f>
        <v>918382.56905404222</v>
      </c>
      <c r="AF105" s="28">
        <f>(Table1[[#This Row],[P (+ shock)]]+Table1[[#This Row],[P (-shock)]]-2*Table1[[#This Row],[Ask Price]])/(2*Table1[[#This Row],[Ask Price]]*($AE$2^2))</f>
        <v>25.586916812132618</v>
      </c>
    </row>
    <row r="106" spans="1:32" x14ac:dyDescent="0.25">
      <c r="A106" s="21" t="s">
        <v>61</v>
      </c>
      <c r="B106" s="3" t="s">
        <v>62</v>
      </c>
      <c r="C106" s="3" t="s">
        <v>19</v>
      </c>
      <c r="D106" s="4">
        <v>45125</v>
      </c>
      <c r="E106" s="4">
        <v>46221</v>
      </c>
      <c r="F106" s="3">
        <v>1000</v>
      </c>
      <c r="G106" s="3" t="s">
        <v>20</v>
      </c>
      <c r="H106" s="3">
        <v>1027</v>
      </c>
      <c r="I106" s="3" t="s">
        <v>20</v>
      </c>
      <c r="J106" s="3">
        <v>102.69999999999899</v>
      </c>
      <c r="K106" s="3">
        <v>40</v>
      </c>
      <c r="L106" s="5">
        <v>0.11019999999999999</v>
      </c>
      <c r="M106" s="3" t="s">
        <v>21</v>
      </c>
      <c r="N106" s="3">
        <v>304</v>
      </c>
      <c r="O106" s="6">
        <f>Table1[[#This Row],[Current coupon %]]*Table1[[#This Row],[Face value]]/Table1[[#This Row],[Ask Price]]</f>
        <v>0.10730282375851995</v>
      </c>
      <c r="P106" s="3"/>
      <c r="Q106" s="3" t="s">
        <v>22</v>
      </c>
      <c r="R106">
        <f t="shared" si="1"/>
        <v>3</v>
      </c>
      <c r="S106" s="22" cm="1">
        <f t="array" ref="S106">_xlfn.IFS(Table1[[#This Row],[Coupon frequency]]="Semi-annual",2,Table1[[#This Row],[Coupon frequency]]="Quarterly",4,Table1[[#This Row],[Coupon frequency]]="Annual",1,Table1[[#This Row],[Coupon frequency]]="Every 4 months",3,Table1[[#This Row],[Coupon frequency]]="Monthly",12)</f>
        <v>1</v>
      </c>
      <c r="T106">
        <f>Table1[[#This Row],[Term to Maturity (Years)]]*Table1[[#This Row],[Coupon Frequency2]]</f>
        <v>3</v>
      </c>
      <c r="U106">
        <f>Table1[[#This Row],[Face value]]*Table1[[#This Row],[Current coupon %]]/Table1[[#This Row],[Coupon Frequency2]]</f>
        <v>110.19999999999999</v>
      </c>
      <c r="V106" s="23">
        <f>RATE(Table1[[#This Row],[Total No. of Coupons]],Table1[[#This Row],[Coupon Amount]],-Table1[[#This Row],[Ask Price]],Table1[[#This Row],[Face value]])</f>
        <v>9.9355222423488293E-2</v>
      </c>
      <c r="W106" s="24">
        <f>Table1[[#This Row],[IRR]]*Table1[[#This Row],[Coupon Frequency2]]</f>
        <v>9.9355222423488293E-2</v>
      </c>
      <c r="X106" s="25" cm="1">
        <f t="array" ref="X10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06" s="26">
        <f>DURATION(Table1[[#This Row],[Issue date]],Table1[[#This Row],[Maturity date]],Table1[[#This Row],[Current coupon %]],Table1[[#This Row],[Yield (Annualised)]],Table1[[#This Row],[Coupon Frequency2]])</f>
        <v>2.7160054592260905</v>
      </c>
      <c r="Z106" s="26">
        <f>Table1[[#This Row],[Macaulay Duration in Years]]/(1+Table1[[#This Row],[IRR]])</f>
        <v>2.4705440096411748</v>
      </c>
      <c r="AA106" s="27">
        <f>VLOOKUP(Table1[[#This Row],[Yield Cluster]],'[1]Cluster Details'!$B$3:$C$16,2,0)</f>
        <v>7.8548801574189142E-2</v>
      </c>
      <c r="AB106" s="28">
        <f>PRICE(Table1[[#This Row],[Issue date]],Table1[[#This Row],[Maturity date]],Table1[[#This Row],[Current coupon %]],Table1[[#This Row],[Average Cluster Yield]],100,Table1[[#This Row],[Coupon Frequency2]])*Table1[[#This Row],[Face value]]/100</f>
        <v>1081.7822699951607</v>
      </c>
      <c r="AC106" s="27" t="str">
        <f>IF(Table1[[#This Row],[Ask Price]]&gt;Table1[[#This Row],[Calculated Bond Price]],"Rich","Cheap")</f>
        <v>Cheap</v>
      </c>
      <c r="AD106" s="28">
        <f>PRICE(Table1[[#This Row],[Issue date]],Table1[[#This Row],[Maturity date]],Table1[[#This Row],[Current coupon %]],Table1[[#This Row],[Yield (Annualised)]]+$AE$2,100,Table1[[#This Row],[Coupon Frequency2]])*Table1[[#This Row],[Face value]]/100</f>
        <v>1002.0667126541696</v>
      </c>
      <c r="AE106" s="28">
        <f>PRICE(Table1[[#This Row],[Issue date]],Table1[[#This Row],[Maturity date]],Table1[[#This Row],[Current coupon %]],Table1[[#This Row],[Yield (Annualised)]]-$AE$2,100,Table1[[#This Row],[Coupon Frequency2]])*Table1[[#This Row],[Face value]]/100</f>
        <v>1052.8249665295775</v>
      </c>
      <c r="AF106" s="28">
        <f>(Table1[[#This Row],[P (+ shock)]]+Table1[[#This Row],[P (-shock)]]-2*Table1[[#This Row],[Ask Price]])/(2*Table1[[#This Row],[Ask Price]]*($AE$2^2))</f>
        <v>4.3411839520317832</v>
      </c>
    </row>
    <row r="107" spans="1:32" x14ac:dyDescent="0.25">
      <c r="A107" s="21" t="s">
        <v>300</v>
      </c>
      <c r="B107" s="3" t="s">
        <v>301</v>
      </c>
      <c r="C107" s="3" t="s">
        <v>19</v>
      </c>
      <c r="D107" s="4">
        <v>45369</v>
      </c>
      <c r="E107" s="4">
        <v>46099</v>
      </c>
      <c r="F107" s="3">
        <v>100000</v>
      </c>
      <c r="G107" s="3" t="s">
        <v>20</v>
      </c>
      <c r="H107" s="3">
        <v>104492</v>
      </c>
      <c r="I107" s="3" t="s">
        <v>20</v>
      </c>
      <c r="J107" s="3">
        <v>104.492</v>
      </c>
      <c r="K107" s="3">
        <v>1</v>
      </c>
      <c r="L107" s="5">
        <v>0.11</v>
      </c>
      <c r="M107" s="3" t="s">
        <v>21</v>
      </c>
      <c r="N107" s="3">
        <v>182</v>
      </c>
      <c r="O107" s="6">
        <f>Table1[[#This Row],[Current coupon %]]*Table1[[#This Row],[Face value]]/Table1[[#This Row],[Ask Price]]</f>
        <v>0.10527121693526777</v>
      </c>
      <c r="P107" s="3"/>
      <c r="Q107" s="3" t="s">
        <v>22</v>
      </c>
      <c r="R107">
        <f t="shared" si="1"/>
        <v>2</v>
      </c>
      <c r="S107" s="22" cm="1">
        <f t="array" ref="S107">_xlfn.IFS(Table1[[#This Row],[Coupon frequency]]="Semi-annual",2,Table1[[#This Row],[Coupon frequency]]="Quarterly",4,Table1[[#This Row],[Coupon frequency]]="Annual",1,Table1[[#This Row],[Coupon frequency]]="Every 4 months",3,Table1[[#This Row],[Coupon frequency]]="Monthly",12)</f>
        <v>1</v>
      </c>
      <c r="T107">
        <f>Table1[[#This Row],[Term to Maturity (Years)]]*Table1[[#This Row],[Coupon Frequency2]]</f>
        <v>2</v>
      </c>
      <c r="U107">
        <f>Table1[[#This Row],[Face value]]*Table1[[#This Row],[Current coupon %]]/Table1[[#This Row],[Coupon Frequency2]]</f>
        <v>11000</v>
      </c>
      <c r="V107" s="23">
        <f>RATE(Table1[[#This Row],[Total No. of Coupons]],Table1[[#This Row],[Coupon Amount]],-Table1[[#This Row],[Ask Price]],Table1[[#This Row],[Face value]])</f>
        <v>8.4649555690206338E-2</v>
      </c>
      <c r="W107" s="24">
        <f>Table1[[#This Row],[IRR]]*Table1[[#This Row],[Coupon Frequency2]]</f>
        <v>8.4649555690206338E-2</v>
      </c>
      <c r="X107" s="25" cm="1">
        <f t="array" ref="X10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07" s="26">
        <f>DURATION(Table1[[#This Row],[Issue date]],Table1[[#This Row],[Maturity date]],Table1[[#This Row],[Current coupon %]],Table1[[#This Row],[Yield (Annualised)]],Table1[[#This Row],[Coupon Frequency2]])</f>
        <v>1.9029444889522134</v>
      </c>
      <c r="Z107" s="26">
        <f>Table1[[#This Row],[Macaulay Duration in Years]]/(1+Table1[[#This Row],[IRR]])</f>
        <v>1.7544325528638538</v>
      </c>
      <c r="AA107" s="27">
        <f>VLOOKUP(Table1[[#This Row],[Yield Cluster]],'[1]Cluster Details'!$B$3:$C$16,2,0)</f>
        <v>7.8548801574189142E-2</v>
      </c>
      <c r="AB107" s="28">
        <f>PRICE(Table1[[#This Row],[Issue date]],Table1[[#This Row],[Maturity date]],Table1[[#This Row],[Current coupon %]],Table1[[#This Row],[Average Cluster Yield]],100,Table1[[#This Row],[Coupon Frequency2]])*Table1[[#This Row],[Face value]]/100</f>
        <v>105619.76070160035</v>
      </c>
      <c r="AC107" s="27" t="str">
        <f>IF(Table1[[#This Row],[Ask Price]]&gt;Table1[[#This Row],[Calculated Bond Price]],"Rich","Cheap")</f>
        <v>Cheap</v>
      </c>
      <c r="AD107" s="28">
        <f>PRICE(Table1[[#This Row],[Issue date]],Table1[[#This Row],[Maturity date]],Table1[[#This Row],[Current coupon %]],Table1[[#This Row],[Yield (Annualised)]]+$AE$2,100,Table1[[#This Row],[Coupon Frequency2]])*Table1[[#This Row],[Face value]]/100</f>
        <v>102683.3796019791</v>
      </c>
      <c r="AE107" s="28">
        <f>PRICE(Table1[[#This Row],[Issue date]],Table1[[#This Row],[Maturity date]],Table1[[#This Row],[Current coupon %]],Table1[[#This Row],[Yield (Annualised)]]-$AE$2,100,Table1[[#This Row],[Coupon Frequency2]])*Table1[[#This Row],[Face value]]/100</f>
        <v>106350.47041518119</v>
      </c>
      <c r="AF107" s="28">
        <f>(Table1[[#This Row],[P (+ shock)]]+Table1[[#This Row],[P (-shock)]]-2*Table1[[#This Row],[Ask Price]])/(2*Table1[[#This Row],[Ask Price]]*($AE$2^2))</f>
        <v>2.3853508957764058</v>
      </c>
    </row>
    <row r="108" spans="1:32" x14ac:dyDescent="0.25">
      <c r="A108" s="21" t="s">
        <v>302</v>
      </c>
      <c r="B108" s="3" t="s">
        <v>303</v>
      </c>
      <c r="C108" s="3" t="s">
        <v>19</v>
      </c>
      <c r="D108" s="4">
        <v>45322</v>
      </c>
      <c r="E108" s="4">
        <v>47149</v>
      </c>
      <c r="F108" s="3">
        <v>1000</v>
      </c>
      <c r="G108" s="3" t="s">
        <v>20</v>
      </c>
      <c r="H108" s="3">
        <v>927.5</v>
      </c>
      <c r="I108" s="3" t="s">
        <v>20</v>
      </c>
      <c r="J108" s="3">
        <v>92.75</v>
      </c>
      <c r="K108" s="3">
        <v>11</v>
      </c>
      <c r="L108" s="5">
        <v>9.7500000000000003E-2</v>
      </c>
      <c r="M108" s="3" t="s">
        <v>21</v>
      </c>
      <c r="N108" s="3">
        <v>1232</v>
      </c>
      <c r="O108" s="6">
        <f>Table1[[#This Row],[Current coupon %]]*Table1[[#This Row],[Face value]]/Table1[[#This Row],[Ask Price]]</f>
        <v>0.10512129380053908</v>
      </c>
      <c r="P108" s="3"/>
      <c r="Q108" s="3" t="s">
        <v>22</v>
      </c>
      <c r="R108">
        <f t="shared" si="1"/>
        <v>5</v>
      </c>
      <c r="S108" s="22" cm="1">
        <f t="array" ref="S108">_xlfn.IFS(Table1[[#This Row],[Coupon frequency]]="Semi-annual",2,Table1[[#This Row],[Coupon frequency]]="Quarterly",4,Table1[[#This Row],[Coupon frequency]]="Annual",1,Table1[[#This Row],[Coupon frequency]]="Every 4 months",3,Table1[[#This Row],[Coupon frequency]]="Monthly",12)</f>
        <v>1</v>
      </c>
      <c r="T108">
        <f>Table1[[#This Row],[Term to Maturity (Years)]]*Table1[[#This Row],[Coupon Frequency2]]</f>
        <v>5</v>
      </c>
      <c r="U108">
        <f>Table1[[#This Row],[Face value]]*Table1[[#This Row],[Current coupon %]]/Table1[[#This Row],[Coupon Frequency2]]</f>
        <v>97.5</v>
      </c>
      <c r="V108" s="23">
        <f>RATE(Table1[[#This Row],[Total No. of Coupons]],Table1[[#This Row],[Coupon Amount]],-Table1[[#This Row],[Ask Price]],Table1[[#This Row],[Face value]])</f>
        <v>0.11748715471423968</v>
      </c>
      <c r="W108" s="24">
        <f>Table1[[#This Row],[IRR]]*Table1[[#This Row],[Coupon Frequency2]]</f>
        <v>0.11748715471423968</v>
      </c>
      <c r="X108" s="25" cm="1">
        <f t="array" ref="X10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8" s="26">
        <f>DURATION(Table1[[#This Row],[Issue date]],Table1[[#This Row],[Maturity date]],Table1[[#This Row],[Current coupon %]],Table1[[#This Row],[Yield (Annualised)]],Table1[[#This Row],[Coupon Frequency2]])</f>
        <v>4.1531167924111969</v>
      </c>
      <c r="Z108" s="26">
        <f>Table1[[#This Row],[Macaulay Duration in Years]]/(1+Table1[[#This Row],[IRR]])</f>
        <v>3.7164783280871077</v>
      </c>
      <c r="AA108" s="27">
        <f>VLOOKUP(Table1[[#This Row],[Yield Cluster]],'[1]Cluster Details'!$B$3:$C$16,2,0)</f>
        <v>0.11069942689191503</v>
      </c>
      <c r="AB108" s="28">
        <f>PRICE(Table1[[#This Row],[Issue date]],Table1[[#This Row],[Maturity date]],Table1[[#This Row],[Current coupon %]],Table1[[#This Row],[Average Cluster Yield]],100,Table1[[#This Row],[Coupon Frequency2]])*Table1[[#This Row],[Face value]]/100</f>
        <v>951.30198815484164</v>
      </c>
      <c r="AC108" s="27" t="str">
        <f>IF(Table1[[#This Row],[Ask Price]]&gt;Table1[[#This Row],[Calculated Bond Price]],"Rich","Cheap")</f>
        <v>Cheap</v>
      </c>
      <c r="AD108" s="28">
        <f>PRICE(Table1[[#This Row],[Issue date]],Table1[[#This Row],[Maturity date]],Table1[[#This Row],[Current coupon %]],Table1[[#This Row],[Yield (Annualised)]]+$AE$2,100,Table1[[#This Row],[Coupon Frequency2]])*Table1[[#This Row],[Face value]]/100</f>
        <v>893.87834724777804</v>
      </c>
      <c r="AE108" s="28">
        <f>PRICE(Table1[[#This Row],[Issue date]],Table1[[#This Row],[Maturity date]],Table1[[#This Row],[Current coupon %]],Table1[[#This Row],[Yield (Annualised)]]-$AE$2,100,Table1[[#This Row],[Coupon Frequency2]])*Table1[[#This Row],[Face value]]/100</f>
        <v>962.8539869847873</v>
      </c>
      <c r="AF108" s="28">
        <f>(Table1[[#This Row],[P (+ shock)]]+Table1[[#This Row],[P (-shock)]]-2*Table1[[#This Row],[Ask Price]])/(2*Table1[[#This Row],[Ask Price]]*($AE$2^2))</f>
        <v>9.3387290165247201</v>
      </c>
    </row>
    <row r="109" spans="1:32" x14ac:dyDescent="0.25">
      <c r="A109" s="21" t="s">
        <v>304</v>
      </c>
      <c r="B109" s="3" t="s">
        <v>305</v>
      </c>
      <c r="C109" s="3" t="s">
        <v>19</v>
      </c>
      <c r="D109" s="4">
        <v>45464</v>
      </c>
      <c r="E109" s="4">
        <v>47290</v>
      </c>
      <c r="F109" s="3">
        <v>1000</v>
      </c>
      <c r="G109" s="3" t="s">
        <v>20</v>
      </c>
      <c r="H109" s="3">
        <v>999</v>
      </c>
      <c r="I109" s="3" t="s">
        <v>20</v>
      </c>
      <c r="J109" s="3">
        <v>99.9</v>
      </c>
      <c r="K109" s="3">
        <v>50</v>
      </c>
      <c r="L109" s="5">
        <v>0.105</v>
      </c>
      <c r="M109" s="3" t="s">
        <v>21</v>
      </c>
      <c r="N109" s="3">
        <v>1373</v>
      </c>
      <c r="O109" s="6">
        <f>Table1[[#This Row],[Current coupon %]]*Table1[[#This Row],[Face value]]/Table1[[#This Row],[Ask Price]]</f>
        <v>0.10510510510510511</v>
      </c>
      <c r="P109" s="3"/>
      <c r="Q109" s="3" t="s">
        <v>22</v>
      </c>
      <c r="R109">
        <f t="shared" si="1"/>
        <v>5</v>
      </c>
      <c r="S109" s="22" cm="1">
        <f t="array" ref="S109">_xlfn.IFS(Table1[[#This Row],[Coupon frequency]]="Semi-annual",2,Table1[[#This Row],[Coupon frequency]]="Quarterly",4,Table1[[#This Row],[Coupon frequency]]="Annual",1,Table1[[#This Row],[Coupon frequency]]="Every 4 months",3,Table1[[#This Row],[Coupon frequency]]="Monthly",12)</f>
        <v>1</v>
      </c>
      <c r="T109">
        <f>Table1[[#This Row],[Term to Maturity (Years)]]*Table1[[#This Row],[Coupon Frequency2]]</f>
        <v>5</v>
      </c>
      <c r="U109">
        <f>Table1[[#This Row],[Face value]]*Table1[[#This Row],[Current coupon %]]/Table1[[#This Row],[Coupon Frequency2]]</f>
        <v>105</v>
      </c>
      <c r="V109" s="23">
        <f>RATE(Table1[[#This Row],[Total No. of Coupons]],Table1[[#This Row],[Coupon Amount]],-Table1[[#This Row],[Ask Price]],Table1[[#This Row],[Face value]])</f>
        <v>0.10526735659678801</v>
      </c>
      <c r="W109" s="24">
        <f>Table1[[#This Row],[IRR]]*Table1[[#This Row],[Coupon Frequency2]]</f>
        <v>0.10526735659678801</v>
      </c>
      <c r="X109" s="25" cm="1">
        <f t="array" ref="X10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09" s="26">
        <f>DURATION(Table1[[#This Row],[Issue date]],Table1[[#This Row],[Maturity date]],Table1[[#This Row],[Current coupon %]],Table1[[#This Row],[Yield (Annualised)]],Table1[[#This Row],[Coupon Frequency2]])</f>
        <v>4.1353915008184305</v>
      </c>
      <c r="Z109" s="26">
        <f>Table1[[#This Row],[Macaulay Duration in Years]]/(1+Table1[[#This Row],[IRR]])</f>
        <v>3.7415304777946683</v>
      </c>
      <c r="AA109" s="27">
        <f>VLOOKUP(Table1[[#This Row],[Yield Cluster]],'[1]Cluster Details'!$B$3:$C$16,2,0)</f>
        <v>0.11069942689191503</v>
      </c>
      <c r="AB109" s="28">
        <f>PRICE(Table1[[#This Row],[Issue date]],Table1[[#This Row],[Maturity date]],Table1[[#This Row],[Current coupon %]],Table1[[#This Row],[Average Cluster Yield]],100,Table1[[#This Row],[Coupon Frequency2]])*Table1[[#This Row],[Face value]]/100</f>
        <v>978.97251444582798</v>
      </c>
      <c r="AC109" s="27" t="str">
        <f>IF(Table1[[#This Row],[Ask Price]]&gt;Table1[[#This Row],[Calculated Bond Price]],"Rich","Cheap")</f>
        <v>Rich</v>
      </c>
      <c r="AD109" s="28">
        <f>PRICE(Table1[[#This Row],[Issue date]],Table1[[#This Row],[Maturity date]],Table1[[#This Row],[Current coupon %]],Table1[[#This Row],[Yield (Annualised)]]+$AE$2,100,Table1[[#This Row],[Coupon Frequency2]])*Table1[[#This Row],[Face value]]/100</f>
        <v>962.55040002157534</v>
      </c>
      <c r="AE109" s="28">
        <f>PRICE(Table1[[#This Row],[Issue date]],Table1[[#This Row],[Maturity date]],Table1[[#This Row],[Current coupon %]],Table1[[#This Row],[Yield (Annualised)]]-$AE$2,100,Table1[[#This Row],[Coupon Frequency2]])*Table1[[#This Row],[Face value]]/100</f>
        <v>1037.3448075650192</v>
      </c>
      <c r="AF109" s="28">
        <f>(Table1[[#This Row],[P (+ shock)]]+Table1[[#This Row],[P (-shock)]]-2*Table1[[#This Row],[Ask Price]])/(2*Table1[[#This Row],[Ask Price]]*($AE$2^2))</f>
        <v>9.4855234564291866</v>
      </c>
    </row>
    <row r="110" spans="1:32" x14ac:dyDescent="0.25">
      <c r="A110" s="21" t="s">
        <v>306</v>
      </c>
      <c r="B110" s="3" t="s">
        <v>307</v>
      </c>
      <c r="C110" s="3" t="s">
        <v>19</v>
      </c>
      <c r="D110" s="4">
        <v>45364</v>
      </c>
      <c r="E110" s="4">
        <v>46459</v>
      </c>
      <c r="F110" s="3">
        <v>1000</v>
      </c>
      <c r="G110" s="3" t="s">
        <v>20</v>
      </c>
      <c r="H110" s="3">
        <v>1065</v>
      </c>
      <c r="I110" s="3" t="s">
        <v>20</v>
      </c>
      <c r="J110" s="3">
        <v>106.5</v>
      </c>
      <c r="K110" s="3">
        <v>3</v>
      </c>
      <c r="L110" s="5">
        <v>0.1119</v>
      </c>
      <c r="M110" s="3" t="s">
        <v>21</v>
      </c>
      <c r="N110" s="3">
        <v>542</v>
      </c>
      <c r="O110" s="6">
        <f>Table1[[#This Row],[Current coupon %]]*Table1[[#This Row],[Face value]]/Table1[[#This Row],[Ask Price]]</f>
        <v>0.10507042253521127</v>
      </c>
      <c r="P110" s="3"/>
      <c r="Q110" s="3" t="s">
        <v>22</v>
      </c>
      <c r="R110">
        <f t="shared" si="1"/>
        <v>3</v>
      </c>
      <c r="S110" s="22" cm="1">
        <f t="array" ref="S110">_xlfn.IFS(Table1[[#This Row],[Coupon frequency]]="Semi-annual",2,Table1[[#This Row],[Coupon frequency]]="Quarterly",4,Table1[[#This Row],[Coupon frequency]]="Annual",1,Table1[[#This Row],[Coupon frequency]]="Every 4 months",3,Table1[[#This Row],[Coupon frequency]]="Monthly",12)</f>
        <v>1</v>
      </c>
      <c r="T110">
        <f>Table1[[#This Row],[Term to Maturity (Years)]]*Table1[[#This Row],[Coupon Frequency2]]</f>
        <v>3</v>
      </c>
      <c r="U110">
        <f>Table1[[#This Row],[Face value]]*Table1[[#This Row],[Current coupon %]]/Table1[[#This Row],[Coupon Frequency2]]</f>
        <v>111.9</v>
      </c>
      <c r="V110" s="23">
        <f>RATE(Table1[[#This Row],[Total No. of Coupons]],Table1[[#This Row],[Coupon Amount]],-Table1[[#This Row],[Ask Price]],Table1[[#This Row],[Face value]])</f>
        <v>8.6386640593037564E-2</v>
      </c>
      <c r="W110" s="24">
        <f>Table1[[#This Row],[IRR]]*Table1[[#This Row],[Coupon Frequency2]]</f>
        <v>8.6386640593037564E-2</v>
      </c>
      <c r="X110" s="25" cm="1">
        <f t="array" ref="X1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10" s="26">
        <f>DURATION(Table1[[#This Row],[Issue date]],Table1[[#This Row],[Maturity date]],Table1[[#This Row],[Current coupon %]],Table1[[#This Row],[Yield (Annualised)]],Table1[[#This Row],[Coupon Frequency2]])</f>
        <v>2.7175440774328044</v>
      </c>
      <c r="Z110" s="26">
        <f>Table1[[#This Row],[Macaulay Duration in Years]]/(1+Table1[[#This Row],[IRR]])</f>
        <v>2.5014520391647577</v>
      </c>
      <c r="AA110" s="27">
        <f>VLOOKUP(Table1[[#This Row],[Yield Cluster]],'[1]Cluster Details'!$B$3:$C$16,2,0)</f>
        <v>7.8548801574189142E-2</v>
      </c>
      <c r="AB110" s="28">
        <f>PRICE(Table1[[#This Row],[Issue date]],Table1[[#This Row],[Maturity date]],Table1[[#This Row],[Current coupon %]],Table1[[#This Row],[Average Cluster Yield]],100,Table1[[#This Row],[Coupon Frequency2]])*Table1[[#This Row],[Face value]]/100</f>
        <v>1086.1748322331325</v>
      </c>
      <c r="AC110" s="27" t="str">
        <f>IF(Table1[[#This Row],[Ask Price]]&gt;Table1[[#This Row],[Calculated Bond Price]],"Rich","Cheap")</f>
        <v>Cheap</v>
      </c>
      <c r="AD110" s="28">
        <f>PRICE(Table1[[#This Row],[Issue date]],Table1[[#This Row],[Maturity date]],Table1[[#This Row],[Current coupon %]],Table1[[#This Row],[Yield (Annualised)]]+$AE$2,100,Table1[[#This Row],[Coupon Frequency2]])*Table1[[#This Row],[Face value]]/100</f>
        <v>1038.8261738204578</v>
      </c>
      <c r="AE110" s="28">
        <f>PRICE(Table1[[#This Row],[Issue date]],Table1[[#This Row],[Maturity date]],Table1[[#This Row],[Current coupon %]],Table1[[#This Row],[Yield (Annualised)]]-$AE$2,100,Table1[[#This Row],[Coupon Frequency2]])*Table1[[#This Row],[Face value]]/100</f>
        <v>1092.1213835930023</v>
      </c>
      <c r="AF110" s="28">
        <f>(Table1[[#This Row],[P (+ shock)]]+Table1[[#This Row],[P (-shock)]]-2*Table1[[#This Row],[Ask Price]])/(2*Table1[[#This Row],[Ask Price]]*($AE$2^2))</f>
        <v>4.4486263542739186</v>
      </c>
    </row>
    <row r="111" spans="1:32" x14ac:dyDescent="0.25">
      <c r="A111" s="21" t="s">
        <v>308</v>
      </c>
      <c r="B111" s="3" t="s">
        <v>309</v>
      </c>
      <c r="C111" s="3" t="s">
        <v>19</v>
      </c>
      <c r="D111" s="4">
        <v>45414</v>
      </c>
      <c r="E111" s="4">
        <v>46507</v>
      </c>
      <c r="F111" s="3">
        <v>100000</v>
      </c>
      <c r="G111" s="3" t="s">
        <v>20</v>
      </c>
      <c r="H111" s="3">
        <v>99000</v>
      </c>
      <c r="I111" s="3" t="s">
        <v>20</v>
      </c>
      <c r="J111" s="3">
        <v>99</v>
      </c>
      <c r="K111" s="3">
        <v>6</v>
      </c>
      <c r="L111" s="5">
        <v>0.10400000000000001</v>
      </c>
      <c r="M111" s="3" t="s">
        <v>44</v>
      </c>
      <c r="N111" s="3">
        <v>590</v>
      </c>
      <c r="O111" s="6">
        <f>Table1[[#This Row],[Current coupon %]]*Table1[[#This Row],[Face value]]/Table1[[#This Row],[Ask Price]]</f>
        <v>0.10505050505050507</v>
      </c>
      <c r="P111" s="3"/>
      <c r="Q111" s="3" t="s">
        <v>22</v>
      </c>
      <c r="R111">
        <f t="shared" si="1"/>
        <v>3</v>
      </c>
      <c r="S111" s="22" cm="1">
        <f t="array" ref="S111">_xlfn.IFS(Table1[[#This Row],[Coupon frequency]]="Semi-annual",2,Table1[[#This Row],[Coupon frequency]]="Quarterly",4,Table1[[#This Row],[Coupon frequency]]="Annual",1,Table1[[#This Row],[Coupon frequency]]="Every 4 months",3,Table1[[#This Row],[Coupon frequency]]="Monthly",12)</f>
        <v>4</v>
      </c>
      <c r="T111">
        <f>Table1[[#This Row],[Term to Maturity (Years)]]*Table1[[#This Row],[Coupon Frequency2]]</f>
        <v>12</v>
      </c>
      <c r="U111">
        <f>Table1[[#This Row],[Face value]]*Table1[[#This Row],[Current coupon %]]/Table1[[#This Row],[Coupon Frequency2]]</f>
        <v>2600.0000000000005</v>
      </c>
      <c r="V111" s="23">
        <f>RATE(Table1[[#This Row],[Total No. of Coupons]],Table1[[#This Row],[Coupon Amount]],-Table1[[#This Row],[Ask Price]],Table1[[#This Row],[Face value]])</f>
        <v>2.6986635084693865E-2</v>
      </c>
      <c r="W111" s="24">
        <f>Table1[[#This Row],[IRR]]*Table1[[#This Row],[Coupon Frequency2]]</f>
        <v>0.10794654033877546</v>
      </c>
      <c r="X111" s="25" cm="1">
        <f t="array" ref="X1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1" s="26">
        <f>DURATION(Table1[[#This Row],[Issue date]],Table1[[#This Row],[Maturity date]],Table1[[#This Row],[Current coupon %]],Table1[[#This Row],[Yield (Annualised)]],Table1[[#This Row],[Coupon Frequency2]])</f>
        <v>2.6073609499250394</v>
      </c>
      <c r="Z111" s="26">
        <f>Table1[[#This Row],[Macaulay Duration in Years]]/(1+Table1[[#This Row],[IRR]])</f>
        <v>2.5388460383518181</v>
      </c>
      <c r="AA111" s="27">
        <f>VLOOKUP(Table1[[#This Row],[Yield Cluster]],'[1]Cluster Details'!$B$3:$C$16,2,0)</f>
        <v>0.11069942689191503</v>
      </c>
      <c r="AB111" s="28">
        <f>PRICE(Table1[[#This Row],[Issue date]],Table1[[#This Row],[Maturity date]],Table1[[#This Row],[Current coupon %]],Table1[[#This Row],[Average Cluster Yield]],100,Table1[[#This Row],[Coupon Frequency2]])*Table1[[#This Row],[Face value]]/100</f>
        <v>98311.347127052868</v>
      </c>
      <c r="AC111" s="27" t="str">
        <f>IF(Table1[[#This Row],[Ask Price]]&gt;Table1[[#This Row],[Calculated Bond Price]],"Rich","Cheap")</f>
        <v>Rich</v>
      </c>
      <c r="AD111" s="28">
        <f>PRICE(Table1[[#This Row],[Issue date]],Table1[[#This Row],[Maturity date]],Table1[[#This Row],[Current coupon %]],Table1[[#This Row],[Yield (Annualised)]]+$AE$2,100,Table1[[#This Row],[Coupon Frequency2]])*Table1[[#This Row],[Face value]]/100</f>
        <v>96523.31491988631</v>
      </c>
      <c r="AE111" s="28">
        <f>PRICE(Table1[[#This Row],[Issue date]],Table1[[#This Row],[Maturity date]],Table1[[#This Row],[Current coupon %]],Table1[[#This Row],[Yield (Annualised)]]-$AE$2,100,Table1[[#This Row],[Coupon Frequency2]])*Table1[[#This Row],[Face value]]/100</f>
        <v>101554.04368020339</v>
      </c>
      <c r="AF111" s="28">
        <f>(Table1[[#This Row],[P (+ shock)]]+Table1[[#This Row],[P (-shock)]]-2*Table1[[#This Row],[Ask Price]])/(2*Table1[[#This Row],[Ask Price]]*($AE$2^2))</f>
        <v>3.907000004530548</v>
      </c>
    </row>
    <row r="112" spans="1:32" x14ac:dyDescent="0.25">
      <c r="A112" s="21" t="s">
        <v>310</v>
      </c>
      <c r="B112" s="3" t="s">
        <v>311</v>
      </c>
      <c r="C112" s="3" t="s">
        <v>19</v>
      </c>
      <c r="D112" s="4">
        <v>45777</v>
      </c>
      <c r="E112" s="4">
        <v>47603</v>
      </c>
      <c r="F112" s="3">
        <v>1000</v>
      </c>
      <c r="G112" s="3" t="s">
        <v>20</v>
      </c>
      <c r="H112" s="3">
        <v>1000</v>
      </c>
      <c r="I112" s="3" t="s">
        <v>20</v>
      </c>
      <c r="J112" s="3">
        <v>100</v>
      </c>
      <c r="K112" s="3">
        <v>1540</v>
      </c>
      <c r="L112" s="5">
        <v>0.105</v>
      </c>
      <c r="M112" s="3" t="s">
        <v>21</v>
      </c>
      <c r="N112" s="3">
        <v>1686</v>
      </c>
      <c r="O112" s="6">
        <f>Table1[[#This Row],[Current coupon %]]*Table1[[#This Row],[Face value]]/Table1[[#This Row],[Ask Price]]</f>
        <v>0.105</v>
      </c>
      <c r="P112" s="3"/>
      <c r="Q112" s="3" t="s">
        <v>22</v>
      </c>
      <c r="R112">
        <f t="shared" si="1"/>
        <v>5</v>
      </c>
      <c r="S112" s="22" cm="1">
        <f t="array" ref="S112">_xlfn.IFS(Table1[[#This Row],[Coupon frequency]]="Semi-annual",2,Table1[[#This Row],[Coupon frequency]]="Quarterly",4,Table1[[#This Row],[Coupon frequency]]="Annual",1,Table1[[#This Row],[Coupon frequency]]="Every 4 months",3,Table1[[#This Row],[Coupon frequency]]="Monthly",12)</f>
        <v>1</v>
      </c>
      <c r="T112">
        <f>Table1[[#This Row],[Term to Maturity (Years)]]*Table1[[#This Row],[Coupon Frequency2]]</f>
        <v>5</v>
      </c>
      <c r="U112">
        <f>Table1[[#This Row],[Face value]]*Table1[[#This Row],[Current coupon %]]/Table1[[#This Row],[Coupon Frequency2]]</f>
        <v>105</v>
      </c>
      <c r="V112" s="23">
        <f>RATE(Table1[[#This Row],[Total No. of Coupons]],Table1[[#This Row],[Coupon Amount]],-Table1[[#This Row],[Ask Price]],Table1[[#This Row],[Face value]])</f>
        <v>0.10500000000000012</v>
      </c>
      <c r="W112" s="24">
        <f>Table1[[#This Row],[IRR]]*Table1[[#This Row],[Coupon Frequency2]]</f>
        <v>0.10500000000000012</v>
      </c>
      <c r="X112" s="25" cm="1">
        <f t="array" ref="X1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2" s="26">
        <f>DURATION(Table1[[#This Row],[Issue date]],Table1[[#This Row],[Maturity date]],Table1[[#This Row],[Current coupon %]],Table1[[#This Row],[Yield (Annualised)]],Table1[[#This Row],[Coupon Frequency2]])</f>
        <v>4.1358583369310464</v>
      </c>
      <c r="Z112" s="26">
        <f>Table1[[#This Row],[Macaulay Duration in Years]]/(1+Table1[[#This Row],[IRR]])</f>
        <v>3.7428582234670098</v>
      </c>
      <c r="AA112" s="27">
        <f>VLOOKUP(Table1[[#This Row],[Yield Cluster]],'[1]Cluster Details'!$B$3:$C$16,2,0)</f>
        <v>0.11069942689191503</v>
      </c>
      <c r="AB112" s="28">
        <f>PRICE(Table1[[#This Row],[Issue date]],Table1[[#This Row],[Maturity date]],Table1[[#This Row],[Current coupon %]],Table1[[#This Row],[Average Cluster Yield]],100,Table1[[#This Row],[Coupon Frequency2]])*Table1[[#This Row],[Face value]]/100</f>
        <v>978.97251444582798</v>
      </c>
      <c r="AC112" s="27" t="str">
        <f>IF(Table1[[#This Row],[Ask Price]]&gt;Table1[[#This Row],[Calculated Bond Price]],"Rich","Cheap")</f>
        <v>Rich</v>
      </c>
      <c r="AD112" s="28">
        <f>PRICE(Table1[[#This Row],[Issue date]],Table1[[#This Row],[Maturity date]],Table1[[#This Row],[Current coupon %]],Table1[[#This Row],[Yield (Annualised)]]+$AE$2,100,Table1[[#This Row],[Coupon Frequency2]])*Table1[[#This Row],[Face value]]/100</f>
        <v>963.50122153020118</v>
      </c>
      <c r="AE112" s="28">
        <f>PRICE(Table1[[#This Row],[Issue date]],Table1[[#This Row],[Maturity date]],Table1[[#This Row],[Current coupon %]],Table1[[#This Row],[Yield (Annualised)]]-$AE$2,100,Table1[[#This Row],[Coupon Frequency2]])*Table1[[#This Row],[Face value]]/100</f>
        <v>1038.3970878650662</v>
      </c>
      <c r="AF112" s="28">
        <f>(Table1[[#This Row],[P (+ shock)]]+Table1[[#This Row],[P (-shock)]]-2*Table1[[#This Row],[Ask Price]])/(2*Table1[[#This Row],[Ask Price]]*($AE$2^2))</f>
        <v>9.4915469763373039</v>
      </c>
    </row>
    <row r="113" spans="1:32" x14ac:dyDescent="0.25">
      <c r="A113" s="21" t="s">
        <v>312</v>
      </c>
      <c r="B113" s="3" t="s">
        <v>313</v>
      </c>
      <c r="C113" s="3" t="s">
        <v>19</v>
      </c>
      <c r="D113" s="4">
        <v>45043</v>
      </c>
      <c r="E113" s="4">
        <v>48696</v>
      </c>
      <c r="F113" s="3">
        <v>1000</v>
      </c>
      <c r="G113" s="3" t="s">
        <v>20</v>
      </c>
      <c r="H113" s="3">
        <v>990</v>
      </c>
      <c r="I113" s="3" t="s">
        <v>20</v>
      </c>
      <c r="J113" s="3">
        <v>99</v>
      </c>
      <c r="K113" s="3">
        <v>70</v>
      </c>
      <c r="L113" s="5">
        <v>0.1045</v>
      </c>
      <c r="M113" s="3" t="s">
        <v>21</v>
      </c>
      <c r="N113" s="3">
        <v>2779</v>
      </c>
      <c r="O113" s="6">
        <f>Table1[[#This Row],[Current coupon %]]*Table1[[#This Row],[Face value]]/Table1[[#This Row],[Ask Price]]</f>
        <v>0.10555555555555556</v>
      </c>
      <c r="P113" s="3"/>
      <c r="Q113" s="3" t="s">
        <v>22</v>
      </c>
      <c r="R113">
        <f t="shared" si="1"/>
        <v>10</v>
      </c>
      <c r="S113" s="22" cm="1">
        <f t="array" ref="S113">_xlfn.IFS(Table1[[#This Row],[Coupon frequency]]="Semi-annual",2,Table1[[#This Row],[Coupon frequency]]="Quarterly",4,Table1[[#This Row],[Coupon frequency]]="Annual",1,Table1[[#This Row],[Coupon frequency]]="Every 4 months",3,Table1[[#This Row],[Coupon frequency]]="Monthly",12)</f>
        <v>1</v>
      </c>
      <c r="T113">
        <f>Table1[[#This Row],[Term to Maturity (Years)]]*Table1[[#This Row],[Coupon Frequency2]]</f>
        <v>10</v>
      </c>
      <c r="U113">
        <f>Table1[[#This Row],[Face value]]*Table1[[#This Row],[Current coupon %]]/Table1[[#This Row],[Coupon Frequency2]]</f>
        <v>104.5</v>
      </c>
      <c r="V113" s="23">
        <f>RATE(Table1[[#This Row],[Total No. of Coupons]],Table1[[#This Row],[Coupon Amount]],-Table1[[#This Row],[Ask Price]],Table1[[#This Row],[Face value]])</f>
        <v>0.10617084372637371</v>
      </c>
      <c r="W113" s="24">
        <f>Table1[[#This Row],[IRR]]*Table1[[#This Row],[Coupon Frequency2]]</f>
        <v>0.10617084372637371</v>
      </c>
      <c r="X113" s="25" cm="1">
        <f t="array" ref="X1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3" s="26">
        <f>DURATION(Table1[[#This Row],[Issue date]],Table1[[#This Row],[Maturity date]],Table1[[#This Row],[Current coupon %]],Table1[[#This Row],[Yield (Annualised)]],Table1[[#This Row],[Coupon Frequency2]])</f>
        <v>6.6400181858952463</v>
      </c>
      <c r="Z113" s="26">
        <f>Table1[[#This Row],[Macaulay Duration in Years]]/(1+Table1[[#This Row],[IRR]])</f>
        <v>6.0027058420080222</v>
      </c>
      <c r="AA113" s="27">
        <f>VLOOKUP(Table1[[#This Row],[Yield Cluster]],'[1]Cluster Details'!$B$3:$C$16,2,0)</f>
        <v>0.11069942689191503</v>
      </c>
      <c r="AB113" s="28">
        <f>PRICE(Table1[[#This Row],[Issue date]],Table1[[#This Row],[Maturity date]],Table1[[#This Row],[Current coupon %]],Table1[[#This Row],[Average Cluster Yield]],100,Table1[[#This Row],[Coupon Frequency2]])*Table1[[#This Row],[Face value]]/100</f>
        <v>963.59696641729215</v>
      </c>
      <c r="AC113" s="27" t="str">
        <f>IF(Table1[[#This Row],[Ask Price]]&gt;Table1[[#This Row],[Calculated Bond Price]],"Rich","Cheap")</f>
        <v>Rich</v>
      </c>
      <c r="AD113" s="28">
        <f>PRICE(Table1[[#This Row],[Issue date]],Table1[[#This Row],[Maturity date]],Table1[[#This Row],[Current coupon %]],Table1[[#This Row],[Yield (Annualised)]]+$AE$2,100,Table1[[#This Row],[Coupon Frequency2]])*Table1[[#This Row],[Face value]]/100</f>
        <v>933.01052668637931</v>
      </c>
      <c r="AE113" s="28">
        <f>PRICE(Table1[[#This Row],[Issue date]],Table1[[#This Row],[Maturity date]],Table1[[#This Row],[Current coupon %]],Table1[[#This Row],[Yield (Annualised)]]-$AE$2,100,Table1[[#This Row],[Coupon Frequency2]])*Table1[[#This Row],[Face value]]/100</f>
        <v>1052.0318856346507</v>
      </c>
      <c r="AF113" s="28">
        <f>(Table1[[#This Row],[P (+ shock)]]+Table1[[#This Row],[P (-shock)]]-2*Table1[[#This Row],[Ask Price]])/(2*Table1[[#This Row],[Ask Price]]*($AE$2^2))</f>
        <v>25.466728894091123</v>
      </c>
    </row>
    <row r="114" spans="1:32" x14ac:dyDescent="0.25">
      <c r="A114" s="21" t="s">
        <v>314</v>
      </c>
      <c r="B114" s="3" t="s">
        <v>315</v>
      </c>
      <c r="C114" s="3" t="s">
        <v>19</v>
      </c>
      <c r="D114" s="4">
        <v>43627</v>
      </c>
      <c r="E114" s="4">
        <v>47279</v>
      </c>
      <c r="F114" s="3">
        <v>1000000</v>
      </c>
      <c r="G114" s="3" t="s">
        <v>20</v>
      </c>
      <c r="H114" s="3">
        <v>1110000</v>
      </c>
      <c r="I114" s="3" t="s">
        <v>20</v>
      </c>
      <c r="J114" s="3">
        <v>111</v>
      </c>
      <c r="K114" s="3">
        <v>1</v>
      </c>
      <c r="L114" s="5">
        <v>0.1164</v>
      </c>
      <c r="M114" s="3" t="s">
        <v>44</v>
      </c>
      <c r="N114" s="3">
        <v>1362</v>
      </c>
      <c r="O114" s="6">
        <f>Table1[[#This Row],[Current coupon %]]*Table1[[#This Row],[Face value]]/Table1[[#This Row],[Ask Price]]</f>
        <v>0.10486486486486486</v>
      </c>
      <c r="P114" s="3"/>
      <c r="Q114" s="3" t="s">
        <v>22</v>
      </c>
      <c r="R114">
        <f t="shared" si="1"/>
        <v>10</v>
      </c>
      <c r="S114" s="22" cm="1">
        <f t="array" ref="S114">_xlfn.IFS(Table1[[#This Row],[Coupon frequency]]="Semi-annual",2,Table1[[#This Row],[Coupon frequency]]="Quarterly",4,Table1[[#This Row],[Coupon frequency]]="Annual",1,Table1[[#This Row],[Coupon frequency]]="Every 4 months",3,Table1[[#This Row],[Coupon frequency]]="Monthly",12)</f>
        <v>4</v>
      </c>
      <c r="T114">
        <f>Table1[[#This Row],[Term to Maturity (Years)]]*Table1[[#This Row],[Coupon Frequency2]]</f>
        <v>40</v>
      </c>
      <c r="U114">
        <f>Table1[[#This Row],[Face value]]*Table1[[#This Row],[Current coupon %]]/Table1[[#This Row],[Coupon Frequency2]]</f>
        <v>29100</v>
      </c>
      <c r="V114" s="23">
        <f>RATE(Table1[[#This Row],[Total No. of Coupons]],Table1[[#This Row],[Coupon Amount]],-Table1[[#This Row],[Ask Price]],Table1[[#This Row],[Face value]])</f>
        <v>2.4737373293739796E-2</v>
      </c>
      <c r="W114" s="24">
        <f>Table1[[#This Row],[IRR]]*Table1[[#This Row],[Coupon Frequency2]]</f>
        <v>9.8949493174959186E-2</v>
      </c>
      <c r="X114" s="25" cm="1">
        <f t="array" ref="X1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14" s="26">
        <f>DURATION(Table1[[#This Row],[Issue date]],Table1[[#This Row],[Maturity date]],Table1[[#This Row],[Current coupon %]],Table1[[#This Row],[Yield (Annualised)]],Table1[[#This Row],[Coupon Frequency2]])</f>
        <v>6.2450384277946256</v>
      </c>
      <c r="Z114" s="26">
        <f>Table1[[#This Row],[Macaulay Duration in Years]]/(1+Table1[[#This Row],[IRR]])</f>
        <v>6.0942819014413878</v>
      </c>
      <c r="AA114" s="27">
        <f>VLOOKUP(Table1[[#This Row],[Yield Cluster]],'[1]Cluster Details'!$B$3:$C$16,2,0)</f>
        <v>7.8548801574189142E-2</v>
      </c>
      <c r="AB114" s="28">
        <f>PRICE(Table1[[#This Row],[Issue date]],Table1[[#This Row],[Maturity date]],Table1[[#This Row],[Current coupon %]],Table1[[#This Row],[Average Cluster Yield]],100,Table1[[#This Row],[Coupon Frequency2]])*Table1[[#This Row],[Face value]]/100</f>
        <v>1260463.1994594831</v>
      </c>
      <c r="AC114" s="27" t="str">
        <f>IF(Table1[[#This Row],[Ask Price]]&gt;Table1[[#This Row],[Calculated Bond Price]],"Rich","Cheap")</f>
        <v>Cheap</v>
      </c>
      <c r="AD114" s="28">
        <f>PRICE(Table1[[#This Row],[Issue date]],Table1[[#This Row],[Maturity date]],Table1[[#This Row],[Current coupon %]],Table1[[#This Row],[Yield (Annualised)]]+$AE$2,100,Table1[[#This Row],[Coupon Frequency2]])*Table1[[#This Row],[Face value]]/100</f>
        <v>1045032.2465285871</v>
      </c>
      <c r="AE114" s="28">
        <f>PRICE(Table1[[#This Row],[Issue date]],Table1[[#This Row],[Maturity date]],Table1[[#This Row],[Current coupon %]],Table1[[#This Row],[Yield (Annualised)]]-$AE$2,100,Table1[[#This Row],[Coupon Frequency2]])*Table1[[#This Row],[Face value]]/100</f>
        <v>1180535.6415048139</v>
      </c>
      <c r="AF114" s="28">
        <f>(Table1[[#This Row],[P (+ shock)]]+Table1[[#This Row],[P (-shock)]]-2*Table1[[#This Row],[Ask Price]])/(2*Table1[[#This Row],[Ask Price]]*($AE$2^2))</f>
        <v>25.080576727032525</v>
      </c>
    </row>
    <row r="115" spans="1:32" x14ac:dyDescent="0.25">
      <c r="A115" s="21" t="s">
        <v>316</v>
      </c>
      <c r="B115" s="3" t="s">
        <v>317</v>
      </c>
      <c r="C115" s="3" t="s">
        <v>19</v>
      </c>
      <c r="D115" s="4">
        <v>44186</v>
      </c>
      <c r="E115" s="4">
        <v>47837</v>
      </c>
      <c r="F115" s="3">
        <v>1000000</v>
      </c>
      <c r="G115" s="3" t="s">
        <v>20</v>
      </c>
      <c r="H115" s="3">
        <v>1050000</v>
      </c>
      <c r="I115" s="3" t="s">
        <v>20</v>
      </c>
      <c r="J115" s="3">
        <v>105</v>
      </c>
      <c r="K115" s="3">
        <v>1</v>
      </c>
      <c r="L115" s="5">
        <v>0.1101</v>
      </c>
      <c r="M115" s="3" t="s">
        <v>44</v>
      </c>
      <c r="N115" s="3">
        <v>1920</v>
      </c>
      <c r="O115" s="6">
        <f>Table1[[#This Row],[Current coupon %]]*Table1[[#This Row],[Face value]]/Table1[[#This Row],[Ask Price]]</f>
        <v>0.10485714285714286</v>
      </c>
      <c r="P115" s="3"/>
      <c r="Q115" s="3" t="s">
        <v>22</v>
      </c>
      <c r="R115">
        <f t="shared" si="1"/>
        <v>10</v>
      </c>
      <c r="S115" s="22" cm="1">
        <f t="array" ref="S115">_xlfn.IFS(Table1[[#This Row],[Coupon frequency]]="Semi-annual",2,Table1[[#This Row],[Coupon frequency]]="Quarterly",4,Table1[[#This Row],[Coupon frequency]]="Annual",1,Table1[[#This Row],[Coupon frequency]]="Every 4 months",3,Table1[[#This Row],[Coupon frequency]]="Monthly",12)</f>
        <v>4</v>
      </c>
      <c r="T115">
        <f>Table1[[#This Row],[Term to Maturity (Years)]]*Table1[[#This Row],[Coupon Frequency2]]</f>
        <v>40</v>
      </c>
      <c r="U115">
        <f>Table1[[#This Row],[Face value]]*Table1[[#This Row],[Current coupon %]]/Table1[[#This Row],[Coupon Frequency2]]</f>
        <v>27525</v>
      </c>
      <c r="V115" s="23">
        <f>RATE(Table1[[#This Row],[Total No. of Coupons]],Table1[[#This Row],[Coupon Amount]],-Table1[[#This Row],[Ask Price]],Table1[[#This Row],[Face value]])</f>
        <v>2.5515846033788106E-2</v>
      </c>
      <c r="W115" s="24">
        <f>Table1[[#This Row],[IRR]]*Table1[[#This Row],[Coupon Frequency2]]</f>
        <v>0.10206338413515242</v>
      </c>
      <c r="X115" s="25" cm="1">
        <f t="array" ref="X1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5" s="26">
        <f>DURATION(Table1[[#This Row],[Issue date]],Table1[[#This Row],[Maturity date]],Table1[[#This Row],[Current coupon %]],Table1[[#This Row],[Yield (Annualised)]],Table1[[#This Row],[Coupon Frequency2]])</f>
        <v>6.2784118306721952</v>
      </c>
      <c r="Z115" s="26">
        <f>Table1[[#This Row],[Macaulay Duration in Years]]/(1+Table1[[#This Row],[IRR]])</f>
        <v>6.1221987499794688</v>
      </c>
      <c r="AA115" s="27">
        <f>VLOOKUP(Table1[[#This Row],[Yield Cluster]],'[1]Cluster Details'!$B$3:$C$16,2,0)</f>
        <v>0.11069942689191503</v>
      </c>
      <c r="AB115" s="28">
        <f>PRICE(Table1[[#This Row],[Issue date]],Table1[[#This Row],[Maturity date]],Table1[[#This Row],[Current coupon %]],Table1[[#This Row],[Average Cluster Yield]],100,Table1[[#This Row],[Coupon Frequency2]])*Table1[[#This Row],[Face value]]/100</f>
        <v>996398.56436094642</v>
      </c>
      <c r="AC115" s="27" t="str">
        <f>IF(Table1[[#This Row],[Ask Price]]&gt;Table1[[#This Row],[Calculated Bond Price]],"Rich","Cheap")</f>
        <v>Rich</v>
      </c>
      <c r="AD115" s="28">
        <f>PRICE(Table1[[#This Row],[Issue date]],Table1[[#This Row],[Maturity date]],Table1[[#This Row],[Current coupon %]],Table1[[#This Row],[Yield (Annualised)]]+$AE$2,100,Table1[[#This Row],[Coupon Frequency2]])*Table1[[#This Row],[Face value]]/100</f>
        <v>988278.94048078929</v>
      </c>
      <c r="AE115" s="28">
        <f>PRICE(Table1[[#This Row],[Issue date]],Table1[[#This Row],[Maturity date]],Table1[[#This Row],[Current coupon %]],Table1[[#This Row],[Yield (Annualised)]]-$AE$2,100,Table1[[#This Row],[Coupon Frequency2]])*Table1[[#This Row],[Face value]]/100</f>
        <v>1117046.9147100945</v>
      </c>
      <c r="AF115" s="28">
        <f>(Table1[[#This Row],[P (+ shock)]]+Table1[[#This Row],[P (-shock)]]-2*Table1[[#This Row],[Ask Price]])/(2*Table1[[#This Row],[Ask Price]]*($AE$2^2))</f>
        <v>25.36121519468503</v>
      </c>
    </row>
    <row r="116" spans="1:32" x14ac:dyDescent="0.25">
      <c r="A116" s="21" t="s">
        <v>318</v>
      </c>
      <c r="B116" s="3" t="s">
        <v>319</v>
      </c>
      <c r="C116" s="3" t="s">
        <v>19</v>
      </c>
      <c r="D116" s="4">
        <v>45352</v>
      </c>
      <c r="E116" s="4">
        <v>49004</v>
      </c>
      <c r="F116" s="3">
        <v>1000</v>
      </c>
      <c r="G116" s="3" t="s">
        <v>20</v>
      </c>
      <c r="H116" s="3">
        <v>1026</v>
      </c>
      <c r="I116" s="3" t="s">
        <v>20</v>
      </c>
      <c r="J116" s="3">
        <v>102.6</v>
      </c>
      <c r="K116" s="3">
        <v>20</v>
      </c>
      <c r="L116" s="5">
        <v>0.1075</v>
      </c>
      <c r="M116" s="3" t="s">
        <v>21</v>
      </c>
      <c r="N116" s="3">
        <v>3087</v>
      </c>
      <c r="O116" s="6">
        <f>Table1[[#This Row],[Current coupon %]]*Table1[[#This Row],[Face value]]/Table1[[#This Row],[Ask Price]]</f>
        <v>0.10477582846003898</v>
      </c>
      <c r="P116" s="3"/>
      <c r="Q116" s="3" t="s">
        <v>22</v>
      </c>
      <c r="R116">
        <f t="shared" si="1"/>
        <v>10</v>
      </c>
      <c r="S116" s="22" cm="1">
        <f t="array" ref="S116">_xlfn.IFS(Table1[[#This Row],[Coupon frequency]]="Semi-annual",2,Table1[[#This Row],[Coupon frequency]]="Quarterly",4,Table1[[#This Row],[Coupon frequency]]="Annual",1,Table1[[#This Row],[Coupon frequency]]="Every 4 months",3,Table1[[#This Row],[Coupon frequency]]="Monthly",12)</f>
        <v>1</v>
      </c>
      <c r="T116">
        <f>Table1[[#This Row],[Term to Maturity (Years)]]*Table1[[#This Row],[Coupon Frequency2]]</f>
        <v>10</v>
      </c>
      <c r="U116">
        <f>Table1[[#This Row],[Face value]]*Table1[[#This Row],[Current coupon %]]/Table1[[#This Row],[Coupon Frequency2]]</f>
        <v>107.5</v>
      </c>
      <c r="V116" s="23">
        <f>RATE(Table1[[#This Row],[Total No. of Coupons]],Table1[[#This Row],[Coupon Amount]],-Table1[[#This Row],[Ask Price]],Table1[[#This Row],[Face value]])</f>
        <v>0.10321009378544591</v>
      </c>
      <c r="W116" s="24">
        <f>Table1[[#This Row],[IRR]]*Table1[[#This Row],[Coupon Frequency2]]</f>
        <v>0.10321009378544591</v>
      </c>
      <c r="X116" s="25" cm="1">
        <f t="array" ref="X1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6" s="26">
        <f>DURATION(Table1[[#This Row],[Issue date]],Table1[[#This Row],[Maturity date]],Table1[[#This Row],[Current coupon %]],Table1[[#This Row],[Yield (Annualised)]],Table1[[#This Row],[Coupon Frequency2]])</f>
        <v>6.6359974309165386</v>
      </c>
      <c r="Z116" s="26">
        <f>Table1[[#This Row],[Macaulay Duration in Years]]/(1+Table1[[#This Row],[IRR]])</f>
        <v>6.0151710615214133</v>
      </c>
      <c r="AA116" s="27">
        <f>VLOOKUP(Table1[[#This Row],[Yield Cluster]],'[1]Cluster Details'!$B$3:$C$16,2,0)</f>
        <v>0.11069942689191503</v>
      </c>
      <c r="AB116" s="28">
        <f>PRICE(Table1[[#This Row],[Issue date]],Table1[[#This Row],[Maturity date]],Table1[[#This Row],[Current coupon %]],Table1[[#This Row],[Average Cluster Yield]],100,Table1[[#This Row],[Coupon Frequency2]])*Table1[[#This Row],[Face value]]/100</f>
        <v>981.21296587210452</v>
      </c>
      <c r="AC116" s="27" t="str">
        <f>IF(Table1[[#This Row],[Ask Price]]&gt;Table1[[#This Row],[Calculated Bond Price]],"Rich","Cheap")</f>
        <v>Rich</v>
      </c>
      <c r="AD116" s="28">
        <f>PRICE(Table1[[#This Row],[Issue date]],Table1[[#This Row],[Maturity date]],Table1[[#This Row],[Current coupon %]],Table1[[#This Row],[Yield (Annualised)]]+$AE$2,100,Table1[[#This Row],[Coupon Frequency2]])*Table1[[#This Row],[Face value]]/100</f>
        <v>966.81982465731994</v>
      </c>
      <c r="AE116" s="28">
        <f>PRICE(Table1[[#This Row],[Issue date]],Table1[[#This Row],[Maturity date]],Table1[[#This Row],[Current coupon %]],Table1[[#This Row],[Yield (Annualised)]]-$AE$2,100,Table1[[#This Row],[Coupon Frequency2]])*Table1[[#This Row],[Face value]]/100</f>
        <v>1090.4260261884126</v>
      </c>
      <c r="AF116" s="28">
        <f>(Table1[[#This Row],[P (+ shock)]]+Table1[[#This Row],[P (-shock)]]-2*Table1[[#This Row],[Ask Price]])/(2*Table1[[#This Row],[Ask Price]]*($AE$2^2))</f>
        <v>25.564575271601107</v>
      </c>
    </row>
    <row r="117" spans="1:32" x14ac:dyDescent="0.25">
      <c r="A117" s="21" t="s">
        <v>320</v>
      </c>
      <c r="B117" s="3" t="s">
        <v>321</v>
      </c>
      <c r="C117" s="3" t="s">
        <v>19</v>
      </c>
      <c r="D117" s="4">
        <v>40756</v>
      </c>
      <c r="E117" s="4">
        <v>46235</v>
      </c>
      <c r="F117" s="3">
        <v>10000</v>
      </c>
      <c r="G117" s="3" t="s">
        <v>20</v>
      </c>
      <c r="H117" s="3">
        <v>10260</v>
      </c>
      <c r="I117" s="3" t="s">
        <v>20</v>
      </c>
      <c r="J117" s="3">
        <v>102.6</v>
      </c>
      <c r="K117" s="3">
        <v>10</v>
      </c>
      <c r="L117" s="5">
        <v>0.1075</v>
      </c>
      <c r="M117" s="3" t="s">
        <v>21</v>
      </c>
      <c r="N117" s="3">
        <v>318</v>
      </c>
      <c r="O117" s="6">
        <f>Table1[[#This Row],[Current coupon %]]*Table1[[#This Row],[Face value]]/Table1[[#This Row],[Ask Price]]</f>
        <v>0.10477582846003898</v>
      </c>
      <c r="P117" s="3"/>
      <c r="Q117" s="3" t="s">
        <v>22</v>
      </c>
      <c r="R117">
        <f t="shared" si="1"/>
        <v>15</v>
      </c>
      <c r="S117" s="22" cm="1">
        <f t="array" ref="S117">_xlfn.IFS(Table1[[#This Row],[Coupon frequency]]="Semi-annual",2,Table1[[#This Row],[Coupon frequency]]="Quarterly",4,Table1[[#This Row],[Coupon frequency]]="Annual",1,Table1[[#This Row],[Coupon frequency]]="Every 4 months",3,Table1[[#This Row],[Coupon frequency]]="Monthly",12)</f>
        <v>1</v>
      </c>
      <c r="T117">
        <f>Table1[[#This Row],[Term to Maturity (Years)]]*Table1[[#This Row],[Coupon Frequency2]]</f>
        <v>15</v>
      </c>
      <c r="U117">
        <f>Table1[[#This Row],[Face value]]*Table1[[#This Row],[Current coupon %]]/Table1[[#This Row],[Coupon Frequency2]]</f>
        <v>1075</v>
      </c>
      <c r="V117" s="23">
        <f>RATE(Table1[[#This Row],[Total No. of Coupons]],Table1[[#This Row],[Coupon Amount]],-Table1[[#This Row],[Ask Price]],Table1[[#This Row],[Face value]])</f>
        <v>0.10400320521298088</v>
      </c>
      <c r="W117" s="24">
        <f>Table1[[#This Row],[IRR]]*Table1[[#This Row],[Coupon Frequency2]]</f>
        <v>0.10400320521298088</v>
      </c>
      <c r="X117" s="25" cm="1">
        <f t="array" ref="X1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7" s="26">
        <f>DURATION(Table1[[#This Row],[Issue date]],Table1[[#This Row],[Maturity date]],Table1[[#This Row],[Current coupon %]],Table1[[#This Row],[Yield (Annualised)]],Table1[[#This Row],[Coupon Frequency2]])</f>
        <v>8.158232370894968</v>
      </c>
      <c r="Z117" s="26">
        <f>Table1[[#This Row],[Macaulay Duration in Years]]/(1+Table1[[#This Row],[IRR]])</f>
        <v>7.3896817802454722</v>
      </c>
      <c r="AA117" s="27">
        <f>VLOOKUP(Table1[[#This Row],[Yield Cluster]],'[1]Cluster Details'!$B$3:$C$16,2,0)</f>
        <v>0.11069942689191503</v>
      </c>
      <c r="AB117" s="28">
        <f>PRICE(Table1[[#This Row],[Issue date]],Table1[[#This Row],[Maturity date]],Table1[[#This Row],[Current coupon %]],Table1[[#This Row],[Average Cluster Yield]],100,Table1[[#This Row],[Coupon Frequency2]])*Table1[[#This Row],[Face value]]/100</f>
        <v>9770.8189287504283</v>
      </c>
      <c r="AC117" s="27" t="str">
        <f>IF(Table1[[#This Row],[Ask Price]]&gt;Table1[[#This Row],[Calculated Bond Price]],"Rich","Cheap")</f>
        <v>Rich</v>
      </c>
      <c r="AD117" s="28">
        <f>PRICE(Table1[[#This Row],[Issue date]],Table1[[#This Row],[Maturity date]],Table1[[#This Row],[Current coupon %]],Table1[[#This Row],[Yield (Annualised)]]+$AE$2,100,Table1[[#This Row],[Coupon Frequency2]])*Table1[[#This Row],[Face value]]/100</f>
        <v>9542.5166076739042</v>
      </c>
      <c r="AE117" s="28">
        <f>PRICE(Table1[[#This Row],[Issue date]],Table1[[#This Row],[Maturity date]],Table1[[#This Row],[Current coupon %]],Table1[[#This Row],[Yield (Annualised)]]-$AE$2,100,Table1[[#This Row],[Coupon Frequency2]])*Table1[[#This Row],[Face value]]/100</f>
        <v>11062.694177220734</v>
      </c>
      <c r="AF117" s="28">
        <f>(Table1[[#This Row],[P (+ shock)]]+Table1[[#This Row],[P (-shock)]]-2*Table1[[#This Row],[Ask Price]])/(2*Table1[[#This Row],[Ask Price]]*($AE$2^2))</f>
        <v>41.5257236328654</v>
      </c>
    </row>
    <row r="118" spans="1:32" x14ac:dyDescent="0.25">
      <c r="A118" s="21" t="s">
        <v>322</v>
      </c>
      <c r="B118" s="3" t="s">
        <v>323</v>
      </c>
      <c r="C118" s="3" t="s">
        <v>19</v>
      </c>
      <c r="D118" s="4">
        <v>43368</v>
      </c>
      <c r="E118" s="4">
        <v>47021</v>
      </c>
      <c r="F118" s="3">
        <v>1000</v>
      </c>
      <c r="G118" s="3" t="s">
        <v>20</v>
      </c>
      <c r="H118" s="3">
        <v>922.25</v>
      </c>
      <c r="I118" s="3" t="s">
        <v>20</v>
      </c>
      <c r="J118" s="3">
        <v>92.224999999999994</v>
      </c>
      <c r="K118" s="3">
        <v>50</v>
      </c>
      <c r="L118" s="5">
        <v>9.1999999999999998E-2</v>
      </c>
      <c r="M118" s="3" t="s">
        <v>21</v>
      </c>
      <c r="N118" s="3">
        <v>1104</v>
      </c>
      <c r="O118" s="6">
        <f>Table1[[#This Row],[Current coupon %]]*Table1[[#This Row],[Face value]]/Table1[[#This Row],[Ask Price]]</f>
        <v>9.9756031444835996E-2</v>
      </c>
      <c r="P118" s="3"/>
      <c r="Q118" s="3" t="s">
        <v>22</v>
      </c>
      <c r="R118">
        <f t="shared" si="1"/>
        <v>10</v>
      </c>
      <c r="S118" s="22" cm="1">
        <f t="array" ref="S118">_xlfn.IFS(Table1[[#This Row],[Coupon frequency]]="Semi-annual",2,Table1[[#This Row],[Coupon frequency]]="Quarterly",4,Table1[[#This Row],[Coupon frequency]]="Annual",1,Table1[[#This Row],[Coupon frequency]]="Every 4 months",3,Table1[[#This Row],[Coupon frequency]]="Monthly",12)</f>
        <v>1</v>
      </c>
      <c r="T118">
        <f>Table1[[#This Row],[Term to Maturity (Years)]]*Table1[[#This Row],[Coupon Frequency2]]</f>
        <v>10</v>
      </c>
      <c r="U118">
        <f>Table1[[#This Row],[Face value]]*Table1[[#This Row],[Current coupon %]]/Table1[[#This Row],[Coupon Frequency2]]</f>
        <v>92</v>
      </c>
      <c r="V118" s="23">
        <f>RATE(Table1[[#This Row],[Total No. of Coupons]],Table1[[#This Row],[Coupon Amount]],-Table1[[#This Row],[Ask Price]],Table1[[#This Row],[Face value]])</f>
        <v>0.10492224096893621</v>
      </c>
      <c r="W118" s="24">
        <f>Table1[[#This Row],[IRR]]*Table1[[#This Row],[Coupon Frequency2]]</f>
        <v>0.10492224096893621</v>
      </c>
      <c r="X118" s="25" cm="1">
        <f t="array" ref="X1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8" s="26">
        <f>DURATION(Table1[[#This Row],[Issue date]],Table1[[#This Row],[Maturity date]],Table1[[#This Row],[Current coupon %]],Table1[[#This Row],[Yield (Annualised)]],Table1[[#This Row],[Coupon Frequency2]])</f>
        <v>6.8130948666160416</v>
      </c>
      <c r="Z118" s="26">
        <f>Table1[[#This Row],[Macaulay Duration in Years]]/(1+Table1[[#This Row],[IRR]])</f>
        <v>6.1661306234920703</v>
      </c>
      <c r="AA118" s="27">
        <f>VLOOKUP(Table1[[#This Row],[Yield Cluster]],'[1]Cluster Details'!$B$3:$C$16,2,0)</f>
        <v>0.11069942689191503</v>
      </c>
      <c r="AB118" s="28">
        <f>PRICE(Table1[[#This Row],[Issue date]],Table1[[#This Row],[Maturity date]],Table1[[#This Row],[Current coupon %]],Table1[[#This Row],[Average Cluster Yield]],100,Table1[[#This Row],[Coupon Frequency2]])*Table1[[#This Row],[Face value]]/100</f>
        <v>890.19696868890833</v>
      </c>
      <c r="AC118" s="27" t="str">
        <f>IF(Table1[[#This Row],[Ask Price]]&gt;Table1[[#This Row],[Calculated Bond Price]],"Rich","Cheap")</f>
        <v>Rich</v>
      </c>
      <c r="AD118" s="28">
        <f>PRICE(Table1[[#This Row],[Issue date]],Table1[[#This Row],[Maturity date]],Table1[[#This Row],[Current coupon %]],Table1[[#This Row],[Yield (Annualised)]]+$AE$2,100,Table1[[#This Row],[Coupon Frequency2]])*Table1[[#This Row],[Face value]]/100</f>
        <v>867.74716679085691</v>
      </c>
      <c r="AE118" s="28">
        <f>PRICE(Table1[[#This Row],[Issue date]],Table1[[#This Row],[Maturity date]],Table1[[#This Row],[Current coupon %]],Table1[[#This Row],[Yield (Annualised)]]-$AE$2,100,Table1[[#This Row],[Coupon Frequency2]])*Table1[[#This Row],[Face value]]/100</f>
        <v>981.64563354972847</v>
      </c>
      <c r="AF118" s="28">
        <f>(Table1[[#This Row],[P (+ shock)]]+Table1[[#This Row],[P (-shock)]]-2*Table1[[#This Row],[Ask Price]])/(2*Table1[[#This Row],[Ask Price]]*($AE$2^2))</f>
        <v>26.526431773301066</v>
      </c>
    </row>
    <row r="119" spans="1:32" x14ac:dyDescent="0.25">
      <c r="A119" s="21" t="s">
        <v>324</v>
      </c>
      <c r="B119" s="3" t="s">
        <v>325</v>
      </c>
      <c r="C119" s="3" t="s">
        <v>19</v>
      </c>
      <c r="D119" s="4">
        <v>45512</v>
      </c>
      <c r="E119" s="4">
        <v>46606</v>
      </c>
      <c r="F119" s="3">
        <v>1000</v>
      </c>
      <c r="G119" s="3" t="s">
        <v>20</v>
      </c>
      <c r="H119" s="3">
        <v>985</v>
      </c>
      <c r="I119" s="3" t="s">
        <v>20</v>
      </c>
      <c r="J119" s="3">
        <v>98.5</v>
      </c>
      <c r="K119" s="3">
        <v>25</v>
      </c>
      <c r="L119" s="5">
        <v>0.105</v>
      </c>
      <c r="M119" s="3" t="s">
        <v>21</v>
      </c>
      <c r="N119" s="3">
        <v>689</v>
      </c>
      <c r="O119" s="6">
        <f>Table1[[#This Row],[Current coupon %]]*Table1[[#This Row],[Face value]]/Table1[[#This Row],[Ask Price]]</f>
        <v>0.1065989847715736</v>
      </c>
      <c r="P119" s="3"/>
      <c r="Q119" s="3" t="s">
        <v>22</v>
      </c>
      <c r="R119">
        <f t="shared" si="1"/>
        <v>3</v>
      </c>
      <c r="S119" s="22" cm="1">
        <f t="array" ref="S119">_xlfn.IFS(Table1[[#This Row],[Coupon frequency]]="Semi-annual",2,Table1[[#This Row],[Coupon frequency]]="Quarterly",4,Table1[[#This Row],[Coupon frequency]]="Annual",1,Table1[[#This Row],[Coupon frequency]]="Every 4 months",3,Table1[[#This Row],[Coupon frequency]]="Monthly",12)</f>
        <v>1</v>
      </c>
      <c r="T119">
        <f>Table1[[#This Row],[Term to Maturity (Years)]]*Table1[[#This Row],[Coupon Frequency2]]</f>
        <v>3</v>
      </c>
      <c r="U119">
        <f>Table1[[#This Row],[Face value]]*Table1[[#This Row],[Current coupon %]]/Table1[[#This Row],[Coupon Frequency2]]</f>
        <v>105</v>
      </c>
      <c r="V119" s="23">
        <f>RATE(Table1[[#This Row],[Total No. of Coupons]],Table1[[#This Row],[Coupon Amount]],-Table1[[#This Row],[Ask Price]],Table1[[#This Row],[Face value]])</f>
        <v>0.11115048206727375</v>
      </c>
      <c r="W119" s="24">
        <f>Table1[[#This Row],[IRR]]*Table1[[#This Row],[Coupon Frequency2]]</f>
        <v>0.11115048206727375</v>
      </c>
      <c r="X119" s="25" cm="1">
        <f t="array" ref="X1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19" s="26">
        <f>DURATION(Table1[[#This Row],[Issue date]],Table1[[#This Row],[Maturity date]],Table1[[#This Row],[Current coupon %]],Table1[[#This Row],[Yield (Annualised)]],Table1[[#This Row],[Coupon Frequency2]])</f>
        <v>2.7190117894726678</v>
      </c>
      <c r="Z119" s="26">
        <f>Table1[[#This Row],[Macaulay Duration in Years]]/(1+Table1[[#This Row],[IRR]])</f>
        <v>2.4470239030216678</v>
      </c>
      <c r="AA119" s="27">
        <f>VLOOKUP(Table1[[#This Row],[Yield Cluster]],'[1]Cluster Details'!$B$3:$C$16,2,0)</f>
        <v>0.11069942689191503</v>
      </c>
      <c r="AB119" s="28">
        <f>PRICE(Table1[[#This Row],[Issue date]],Table1[[#This Row],[Maturity date]],Table1[[#This Row],[Current coupon %]],Table1[[#This Row],[Average Cluster Yield]],100,Table1[[#This Row],[Coupon Frequency2]])*Table1[[#This Row],[Face value]]/100</f>
        <v>986.08510890574462</v>
      </c>
      <c r="AC119" s="27" t="str">
        <f>IF(Table1[[#This Row],[Ask Price]]&gt;Table1[[#This Row],[Calculated Bond Price]],"Rich","Cheap")</f>
        <v>Cheap</v>
      </c>
      <c r="AD119" s="28">
        <f>PRICE(Table1[[#This Row],[Issue date]],Table1[[#This Row],[Maturity date]],Table1[[#This Row],[Current coupon %]],Table1[[#This Row],[Yield (Annualised)]]+$AE$2,100,Table1[[#This Row],[Coupon Frequency2]])*Table1[[#This Row],[Face value]]/100</f>
        <v>961.29956542944319</v>
      </c>
      <c r="AE119" s="28">
        <f>PRICE(Table1[[#This Row],[Issue date]],Table1[[#This Row],[Maturity date]],Table1[[#This Row],[Current coupon %]],Table1[[#This Row],[Yield (Annualised)]]-$AE$2,100,Table1[[#This Row],[Coupon Frequency2]])*Table1[[#This Row],[Face value]]/100</f>
        <v>1009.5324055864717</v>
      </c>
      <c r="AF119" s="28">
        <f>(Table1[[#This Row],[P (+ shock)]]+Table1[[#This Row],[P (-shock)]]-2*Table1[[#This Row],[Ask Price]])/(2*Table1[[#This Row],[Ask Price]]*($AE$2^2))</f>
        <v>4.2232031264713701</v>
      </c>
    </row>
    <row r="120" spans="1:32" x14ac:dyDescent="0.25">
      <c r="A120" s="21" t="s">
        <v>326</v>
      </c>
      <c r="B120" s="3" t="s">
        <v>290</v>
      </c>
      <c r="C120" s="3" t="s">
        <v>19</v>
      </c>
      <c r="D120" s="4">
        <v>45499</v>
      </c>
      <c r="E120" s="4">
        <v>47325</v>
      </c>
      <c r="F120" s="3">
        <v>1000</v>
      </c>
      <c r="G120" s="3" t="s">
        <v>20</v>
      </c>
      <c r="H120" s="3">
        <v>1005</v>
      </c>
      <c r="I120" s="3" t="s">
        <v>20</v>
      </c>
      <c r="J120" s="3">
        <v>100.49999999999901</v>
      </c>
      <c r="K120" s="3">
        <v>50</v>
      </c>
      <c r="L120" s="5">
        <v>0.105</v>
      </c>
      <c r="M120" s="3" t="s">
        <v>21</v>
      </c>
      <c r="N120" s="3">
        <v>1408</v>
      </c>
      <c r="O120" s="6">
        <f>Table1[[#This Row],[Current coupon %]]*Table1[[#This Row],[Face value]]/Table1[[#This Row],[Ask Price]]</f>
        <v>0.1044776119402985</v>
      </c>
      <c r="P120" s="3"/>
      <c r="Q120" s="3" t="s">
        <v>22</v>
      </c>
      <c r="R120">
        <f t="shared" si="1"/>
        <v>5</v>
      </c>
      <c r="S120" s="22" cm="1">
        <f t="array" ref="S120">_xlfn.IFS(Table1[[#This Row],[Coupon frequency]]="Semi-annual",2,Table1[[#This Row],[Coupon frequency]]="Quarterly",4,Table1[[#This Row],[Coupon frequency]]="Annual",1,Table1[[#This Row],[Coupon frequency]]="Every 4 months",3,Table1[[#This Row],[Coupon frequency]]="Monthly",12)</f>
        <v>1</v>
      </c>
      <c r="T120">
        <f>Table1[[#This Row],[Term to Maturity (Years)]]*Table1[[#This Row],[Coupon Frequency2]]</f>
        <v>5</v>
      </c>
      <c r="U120">
        <f>Table1[[#This Row],[Face value]]*Table1[[#This Row],[Current coupon %]]/Table1[[#This Row],[Coupon Frequency2]]</f>
        <v>105</v>
      </c>
      <c r="V120" s="23">
        <f>RATE(Table1[[#This Row],[Total No. of Coupons]],Table1[[#This Row],[Coupon Amount]],-Table1[[#This Row],[Ask Price]],Table1[[#This Row],[Face value]])</f>
        <v>0.10366862815324505</v>
      </c>
      <c r="W120" s="24">
        <f>Table1[[#This Row],[IRR]]*Table1[[#This Row],[Coupon Frequency2]]</f>
        <v>0.10366862815324505</v>
      </c>
      <c r="X120" s="25" cm="1">
        <f t="array" ref="X1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20" s="26">
        <f>DURATION(Table1[[#This Row],[Issue date]],Table1[[#This Row],[Maturity date]],Table1[[#This Row],[Current coupon %]],Table1[[#This Row],[Yield (Annualised)]],Table1[[#This Row],[Coupon Frequency2]])</f>
        <v>4.1381817422707492</v>
      </c>
      <c r="Z120" s="26">
        <f>Table1[[#This Row],[Macaulay Duration in Years]]/(1+Table1[[#This Row],[IRR]])</f>
        <v>3.7494784545929489</v>
      </c>
      <c r="AA120" s="27">
        <f>VLOOKUP(Table1[[#This Row],[Yield Cluster]],'[1]Cluster Details'!$B$3:$C$16,2,0)</f>
        <v>0.11069942689191503</v>
      </c>
      <c r="AB120" s="28">
        <f>PRICE(Table1[[#This Row],[Issue date]],Table1[[#This Row],[Maturity date]],Table1[[#This Row],[Current coupon %]],Table1[[#This Row],[Average Cluster Yield]],100,Table1[[#This Row],[Coupon Frequency2]])*Table1[[#This Row],[Face value]]/100</f>
        <v>978.97251444582798</v>
      </c>
      <c r="AC120" s="27" t="str">
        <f>IF(Table1[[#This Row],[Ask Price]]&gt;Table1[[#This Row],[Calculated Bond Price]],"Rich","Cheap")</f>
        <v>Rich</v>
      </c>
      <c r="AD120" s="28">
        <f>PRICE(Table1[[#This Row],[Issue date]],Table1[[#This Row],[Maturity date]],Table1[[#This Row],[Current coupon %]],Table1[[#This Row],[Yield (Annualised)]]+$AE$2,100,Table1[[#This Row],[Coupon Frequency2]])*Table1[[#This Row],[Face value]]/100</f>
        <v>968.2551287537658</v>
      </c>
      <c r="AE120" s="28">
        <f>PRICE(Table1[[#This Row],[Issue date]],Table1[[#This Row],[Maturity date]],Table1[[#This Row],[Current coupon %]],Table1[[#This Row],[Yield (Annualised)]]-$AE$2,100,Table1[[#This Row],[Coupon Frequency2]])*Table1[[#This Row],[Face value]]/100</f>
        <v>1043.658714768042</v>
      </c>
      <c r="AF120" s="28">
        <f>(Table1[[#This Row],[P (+ shock)]]+Table1[[#This Row],[P (-shock)]]-2*Table1[[#This Row],[Ask Price]])/(2*Table1[[#This Row],[Ask Price]]*($AE$2^2))</f>
        <v>9.5216095612330758</v>
      </c>
    </row>
    <row r="121" spans="1:32" x14ac:dyDescent="0.25">
      <c r="A121" s="21" t="s">
        <v>327</v>
      </c>
      <c r="B121" s="3" t="s">
        <v>328</v>
      </c>
      <c r="C121" s="3" t="s">
        <v>19</v>
      </c>
      <c r="D121" s="4">
        <v>43705</v>
      </c>
      <c r="E121" s="4">
        <v>47357</v>
      </c>
      <c r="F121" s="3">
        <v>1000000</v>
      </c>
      <c r="G121" s="3" t="s">
        <v>20</v>
      </c>
      <c r="H121" s="3">
        <v>1096859.3999999999</v>
      </c>
      <c r="I121" s="3" t="s">
        <v>20</v>
      </c>
      <c r="J121" s="3">
        <v>109.68593999999899</v>
      </c>
      <c r="K121" s="3">
        <v>1</v>
      </c>
      <c r="L121" s="5">
        <v>0.11449999999999999</v>
      </c>
      <c r="M121" s="3" t="s">
        <v>44</v>
      </c>
      <c r="N121" s="3">
        <v>1440</v>
      </c>
      <c r="O121" s="6">
        <f>Table1[[#This Row],[Current coupon %]]*Table1[[#This Row],[Face value]]/Table1[[#This Row],[Ask Price]]</f>
        <v>0.10438894903029504</v>
      </c>
      <c r="P121" s="3"/>
      <c r="Q121" s="3" t="s">
        <v>22</v>
      </c>
      <c r="R121">
        <f t="shared" si="1"/>
        <v>10</v>
      </c>
      <c r="S121" s="22" cm="1">
        <f t="array" ref="S121">_xlfn.IFS(Table1[[#This Row],[Coupon frequency]]="Semi-annual",2,Table1[[#This Row],[Coupon frequency]]="Quarterly",4,Table1[[#This Row],[Coupon frequency]]="Annual",1,Table1[[#This Row],[Coupon frequency]]="Every 4 months",3,Table1[[#This Row],[Coupon frequency]]="Monthly",12)</f>
        <v>4</v>
      </c>
      <c r="T121">
        <f>Table1[[#This Row],[Term to Maturity (Years)]]*Table1[[#This Row],[Coupon Frequency2]]</f>
        <v>40</v>
      </c>
      <c r="U121">
        <f>Table1[[#This Row],[Face value]]*Table1[[#This Row],[Current coupon %]]/Table1[[#This Row],[Coupon Frequency2]]</f>
        <v>28624.999999999996</v>
      </c>
      <c r="V121" s="23">
        <f>RATE(Table1[[#This Row],[Total No. of Coupons]],Table1[[#This Row],[Coupon Amount]],-Table1[[#This Row],[Ask Price]],Table1[[#This Row],[Face value]])</f>
        <v>2.4780721747324038E-2</v>
      </c>
      <c r="W121" s="24">
        <f>Table1[[#This Row],[IRR]]*Table1[[#This Row],[Coupon Frequency2]]</f>
        <v>9.9122886989296152E-2</v>
      </c>
      <c r="X121" s="25" cm="1">
        <f t="array" ref="X1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21" s="26">
        <f>DURATION(Table1[[#This Row],[Issue date]],Table1[[#This Row],[Maturity date]],Table1[[#This Row],[Current coupon %]],Table1[[#This Row],[Yield (Annualised)]],Table1[[#This Row],[Coupon Frequency2]])</f>
        <v>6.2639145403893934</v>
      </c>
      <c r="Z121" s="26">
        <f>Table1[[#This Row],[Macaulay Duration in Years]]/(1+Table1[[#This Row],[IRR]])</f>
        <v>6.1124437720773805</v>
      </c>
      <c r="AA121" s="27">
        <f>VLOOKUP(Table1[[#This Row],[Yield Cluster]],'[1]Cluster Details'!$B$3:$C$16,2,0)</f>
        <v>7.8548801574189142E-2</v>
      </c>
      <c r="AB121" s="28">
        <f>PRICE(Table1[[#This Row],[Issue date]],Table1[[#This Row],[Maturity date]],Table1[[#This Row],[Current coupon %]],Table1[[#This Row],[Average Cluster Yield]],100,Table1[[#This Row],[Coupon Frequency2]])*Table1[[#This Row],[Face value]]/100</f>
        <v>1247388.7375372394</v>
      </c>
      <c r="AC121" s="27" t="str">
        <f>IF(Table1[[#This Row],[Ask Price]]&gt;Table1[[#This Row],[Calculated Bond Price]],"Rich","Cheap")</f>
        <v>Cheap</v>
      </c>
      <c r="AD121" s="28">
        <f>PRICE(Table1[[#This Row],[Issue date]],Table1[[#This Row],[Maturity date]],Table1[[#This Row],[Current coupon %]],Table1[[#This Row],[Yield (Annualised)]]+$AE$2,100,Table1[[#This Row],[Coupon Frequency2]])*Table1[[#This Row],[Face value]]/100</f>
        <v>1032475.8610901004</v>
      </c>
      <c r="AE121" s="28">
        <f>PRICE(Table1[[#This Row],[Issue date]],Table1[[#This Row],[Maturity date]],Table1[[#This Row],[Current coupon %]],Table1[[#This Row],[Yield (Annualised)]]-$AE$2,100,Table1[[#This Row],[Coupon Frequency2]])*Table1[[#This Row],[Face value]]/100</f>
        <v>1166774.6804167281</v>
      </c>
      <c r="AF121" s="28">
        <f>(Table1[[#This Row],[P (+ shock)]]+Table1[[#This Row],[P (-shock)]]-2*Table1[[#This Row],[Ask Price]])/(2*Table1[[#This Row],[Ask Price]]*($AE$2^2))</f>
        <v>25.216274332101847</v>
      </c>
    </row>
    <row r="122" spans="1:32" x14ac:dyDescent="0.25">
      <c r="A122" s="21" t="s">
        <v>329</v>
      </c>
      <c r="B122" s="3" t="s">
        <v>330</v>
      </c>
      <c r="C122" s="3" t="s">
        <v>19</v>
      </c>
      <c r="D122" s="4">
        <v>45630</v>
      </c>
      <c r="E122" s="4">
        <v>46359</v>
      </c>
      <c r="F122" s="3">
        <v>1000</v>
      </c>
      <c r="G122" s="3" t="s">
        <v>20</v>
      </c>
      <c r="H122" s="3">
        <v>982</v>
      </c>
      <c r="I122" s="3" t="s">
        <v>20</v>
      </c>
      <c r="J122" s="3">
        <v>98.2</v>
      </c>
      <c r="K122" s="3">
        <v>1</v>
      </c>
      <c r="L122" s="5">
        <v>0.10249999999999999</v>
      </c>
      <c r="M122" s="3" t="s">
        <v>21</v>
      </c>
      <c r="N122" s="3">
        <v>442</v>
      </c>
      <c r="O122" s="6">
        <f>Table1[[#This Row],[Current coupon %]]*Table1[[#This Row],[Face value]]/Table1[[#This Row],[Ask Price]]</f>
        <v>0.10437881873727088</v>
      </c>
      <c r="P122" s="3"/>
      <c r="Q122" s="3" t="s">
        <v>22</v>
      </c>
      <c r="R122">
        <f t="shared" si="1"/>
        <v>2</v>
      </c>
      <c r="S122" s="22" cm="1">
        <f t="array" ref="S122">_xlfn.IFS(Table1[[#This Row],[Coupon frequency]]="Semi-annual",2,Table1[[#This Row],[Coupon frequency]]="Quarterly",4,Table1[[#This Row],[Coupon frequency]]="Annual",1,Table1[[#This Row],[Coupon frequency]]="Every 4 months",3,Table1[[#This Row],[Coupon frequency]]="Monthly",12)</f>
        <v>1</v>
      </c>
      <c r="T122">
        <f>Table1[[#This Row],[Term to Maturity (Years)]]*Table1[[#This Row],[Coupon Frequency2]]</f>
        <v>2</v>
      </c>
      <c r="U122">
        <f>Table1[[#This Row],[Face value]]*Table1[[#This Row],[Current coupon %]]/Table1[[#This Row],[Coupon Frequency2]]</f>
        <v>102.5</v>
      </c>
      <c r="V122" s="23">
        <f>RATE(Table1[[#This Row],[Total No. of Coupons]],Table1[[#This Row],[Coupon Amount]],-Table1[[#This Row],[Ask Price]],Table1[[#This Row],[Face value]])</f>
        <v>0.11305344028292824</v>
      </c>
      <c r="W122" s="24">
        <f>Table1[[#This Row],[IRR]]*Table1[[#This Row],[Coupon Frequency2]]</f>
        <v>0.11305344028292824</v>
      </c>
      <c r="X122" s="25" cm="1">
        <f t="array" ref="X1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22" s="26">
        <f>DURATION(Table1[[#This Row],[Issue date]],Table1[[#This Row],[Maturity date]],Table1[[#This Row],[Current coupon %]],Table1[[#This Row],[Yield (Annualised)]],Table1[[#This Row],[Coupon Frequency2]])</f>
        <v>1.9034452165909934</v>
      </c>
      <c r="Z122" s="26">
        <f>Table1[[#This Row],[Macaulay Duration in Years]]/(1+Table1[[#This Row],[IRR]])</f>
        <v>1.710111255850532</v>
      </c>
      <c r="AA122" s="27">
        <f>VLOOKUP(Table1[[#This Row],[Yield Cluster]],'[1]Cluster Details'!$B$3:$C$16,2,0)</f>
        <v>0.11069942689191503</v>
      </c>
      <c r="AB122" s="28">
        <f>PRICE(Table1[[#This Row],[Issue date]],Table1[[#This Row],[Maturity date]],Table1[[#This Row],[Current coupon %]],Table1[[#This Row],[Average Cluster Yield]],100,Table1[[#This Row],[Coupon Frequency2]])*Table1[[#This Row],[Face value]]/100</f>
        <v>985.97418756519528</v>
      </c>
      <c r="AC122" s="27" t="str">
        <f>IF(Table1[[#This Row],[Ask Price]]&gt;Table1[[#This Row],[Calculated Bond Price]],"Rich","Cheap")</f>
        <v>Cheap</v>
      </c>
      <c r="AD122" s="28">
        <f>PRICE(Table1[[#This Row],[Issue date]],Table1[[#This Row],[Maturity date]],Table1[[#This Row],[Current coupon %]],Table1[[#This Row],[Yield (Annualised)]]+$AE$2,100,Table1[[#This Row],[Coupon Frequency2]])*Table1[[#This Row],[Face value]]/100</f>
        <v>965.42904843697238</v>
      </c>
      <c r="AE122" s="28">
        <f>PRICE(Table1[[#This Row],[Issue date]],Table1[[#This Row],[Maturity date]],Table1[[#This Row],[Current coupon %]],Table1[[#This Row],[Yield (Annualised)]]-$AE$2,100,Table1[[#This Row],[Coupon Frequency2]])*Table1[[#This Row],[Face value]]/100</f>
        <v>999.03091006505531</v>
      </c>
      <c r="AF122" s="28">
        <f>(Table1[[#This Row],[P (+ shock)]]+Table1[[#This Row],[P (-shock)]]-2*Table1[[#This Row],[Ask Price]])/(2*Table1[[#This Row],[Ask Price]]*($AE$2^2))</f>
        <v>2.3419475663330078</v>
      </c>
    </row>
    <row r="123" spans="1:32" x14ac:dyDescent="0.25">
      <c r="A123" s="21" t="s">
        <v>331</v>
      </c>
      <c r="B123" s="3" t="s">
        <v>332</v>
      </c>
      <c r="C123" s="3" t="s">
        <v>19</v>
      </c>
      <c r="D123" s="4">
        <v>45517</v>
      </c>
      <c r="E123" s="4">
        <v>46066</v>
      </c>
      <c r="F123" s="3">
        <v>100000</v>
      </c>
      <c r="G123" s="3" t="s">
        <v>20</v>
      </c>
      <c r="H123" s="3">
        <v>99736</v>
      </c>
      <c r="I123" s="3" t="s">
        <v>20</v>
      </c>
      <c r="J123" s="3">
        <v>99.736000000000004</v>
      </c>
      <c r="K123" s="3">
        <v>8</v>
      </c>
      <c r="L123" s="5">
        <v>0.10400000000000001</v>
      </c>
      <c r="M123" s="3" t="s">
        <v>21</v>
      </c>
      <c r="N123" s="3">
        <v>149</v>
      </c>
      <c r="O123" s="6">
        <f>Table1[[#This Row],[Current coupon %]]*Table1[[#This Row],[Face value]]/Table1[[#This Row],[Ask Price]]</f>
        <v>0.10427528675703859</v>
      </c>
      <c r="P123" s="3"/>
      <c r="Q123" s="3" t="s">
        <v>22</v>
      </c>
      <c r="R123">
        <f t="shared" si="1"/>
        <v>2</v>
      </c>
      <c r="S123" s="22" cm="1">
        <f t="array" ref="S123">_xlfn.IFS(Table1[[#This Row],[Coupon frequency]]="Semi-annual",2,Table1[[#This Row],[Coupon frequency]]="Quarterly",4,Table1[[#This Row],[Coupon frequency]]="Annual",1,Table1[[#This Row],[Coupon frequency]]="Every 4 months",3,Table1[[#This Row],[Coupon frequency]]="Monthly",12)</f>
        <v>1</v>
      </c>
      <c r="T123">
        <f>Table1[[#This Row],[Term to Maturity (Years)]]*Table1[[#This Row],[Coupon Frequency2]]</f>
        <v>2</v>
      </c>
      <c r="U123">
        <f>Table1[[#This Row],[Face value]]*Table1[[#This Row],[Current coupon %]]/Table1[[#This Row],[Coupon Frequency2]]</f>
        <v>10400.000000000002</v>
      </c>
      <c r="V123" s="23">
        <f>RATE(Table1[[#This Row],[Total No. of Coupons]],Table1[[#This Row],[Coupon Amount]],-Table1[[#This Row],[Ask Price]],Table1[[#This Row],[Face value]])</f>
        <v>0.10553244527457302</v>
      </c>
      <c r="W123" s="24">
        <f>Table1[[#This Row],[IRR]]*Table1[[#This Row],[Coupon Frequency2]]</f>
        <v>0.10553244527457302</v>
      </c>
      <c r="X123" s="25" cm="1">
        <f t="array" ref="X1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23" s="26">
        <f>DURATION(Table1[[#This Row],[Issue date]],Table1[[#This Row],[Maturity date]],Table1[[#This Row],[Current coupon %]],Table1[[#This Row],[Yield (Annualised)]],Table1[[#This Row],[Coupon Frequency2]])</f>
        <v>1.4056786734729785</v>
      </c>
      <c r="Z123" s="26">
        <f>Table1[[#This Row],[Macaulay Duration in Years]]/(1+Table1[[#This Row],[IRR]])</f>
        <v>1.2714947258955032</v>
      </c>
      <c r="AA123" s="27">
        <f>VLOOKUP(Table1[[#This Row],[Yield Cluster]],'[1]Cluster Details'!$B$3:$C$16,2,0)</f>
        <v>0.11069942689191503</v>
      </c>
      <c r="AB123" s="28">
        <f>PRICE(Table1[[#This Row],[Issue date]],Table1[[#This Row],[Maturity date]],Table1[[#This Row],[Current coupon %]],Table1[[#This Row],[Average Cluster Yield]],100,Table1[[#This Row],[Coupon Frequency2]])*Table1[[#This Row],[Face value]]/100</f>
        <v>98981.719267160879</v>
      </c>
      <c r="AC123" s="27" t="str">
        <f>IF(Table1[[#This Row],[Ask Price]]&gt;Table1[[#This Row],[Calculated Bond Price]],"Rich","Cheap")</f>
        <v>Rich</v>
      </c>
      <c r="AD123" s="28">
        <f>PRICE(Table1[[#This Row],[Issue date]],Table1[[#This Row],[Maturity date]],Table1[[#This Row],[Current coupon %]],Table1[[#This Row],[Yield (Annualised)]]+$AE$2,100,Table1[[#This Row],[Coupon Frequency2]])*Table1[[#This Row],[Face value]]/100</f>
        <v>98348.066554854231</v>
      </c>
      <c r="AE123" s="28">
        <f>PRICE(Table1[[#This Row],[Issue date]],Table1[[#This Row],[Maturity date]],Table1[[#This Row],[Current coupon %]],Table1[[#This Row],[Yield (Annualised)]]-$AE$2,100,Table1[[#This Row],[Coupon Frequency2]])*Table1[[#This Row],[Face value]]/100</f>
        <v>101015.12836281737</v>
      </c>
      <c r="AF123" s="28">
        <f>(Table1[[#This Row],[P (+ shock)]]+Table1[[#This Row],[P (-shock)]]-2*Table1[[#This Row],[Ask Price]])/(2*Table1[[#This Row],[Ask Price]]*($AE$2^2))</f>
        <v>-5.4546544040459173</v>
      </c>
    </row>
    <row r="124" spans="1:32" x14ac:dyDescent="0.25">
      <c r="A124" s="21" t="s">
        <v>333</v>
      </c>
      <c r="B124" s="3" t="s">
        <v>334</v>
      </c>
      <c r="C124" s="3" t="s">
        <v>19</v>
      </c>
      <c r="D124" s="4">
        <v>44501</v>
      </c>
      <c r="E124" s="4">
        <v>46326</v>
      </c>
      <c r="F124" s="3">
        <v>1000</v>
      </c>
      <c r="G124" s="3" t="s">
        <v>20</v>
      </c>
      <c r="H124" s="3">
        <v>1078.92</v>
      </c>
      <c r="I124" s="3" t="s">
        <v>20</v>
      </c>
      <c r="J124" s="3">
        <v>107.892</v>
      </c>
      <c r="K124" s="3">
        <v>200</v>
      </c>
      <c r="L124" s="5">
        <v>0.1125</v>
      </c>
      <c r="M124" s="3" t="s">
        <v>21</v>
      </c>
      <c r="N124" s="3">
        <v>409</v>
      </c>
      <c r="O124" s="6">
        <f>Table1[[#This Row],[Current coupon %]]*Table1[[#This Row],[Face value]]/Table1[[#This Row],[Ask Price]]</f>
        <v>0.10427093760427093</v>
      </c>
      <c r="P124" s="3"/>
      <c r="Q124" s="3" t="s">
        <v>22</v>
      </c>
      <c r="R124">
        <f t="shared" si="1"/>
        <v>5</v>
      </c>
      <c r="S124" s="22" cm="1">
        <f t="array" ref="S124">_xlfn.IFS(Table1[[#This Row],[Coupon frequency]]="Semi-annual",2,Table1[[#This Row],[Coupon frequency]]="Quarterly",4,Table1[[#This Row],[Coupon frequency]]="Annual",1,Table1[[#This Row],[Coupon frequency]]="Every 4 months",3,Table1[[#This Row],[Coupon frequency]]="Monthly",12)</f>
        <v>1</v>
      </c>
      <c r="T124">
        <f>Table1[[#This Row],[Term to Maturity (Years)]]*Table1[[#This Row],[Coupon Frequency2]]</f>
        <v>5</v>
      </c>
      <c r="U124">
        <f>Table1[[#This Row],[Face value]]*Table1[[#This Row],[Current coupon %]]/Table1[[#This Row],[Coupon Frequency2]]</f>
        <v>112.5</v>
      </c>
      <c r="V124" s="23">
        <f>RATE(Table1[[#This Row],[Total No. of Coupons]],Table1[[#This Row],[Coupon Amount]],-Table1[[#This Row],[Ask Price]],Table1[[#This Row],[Face value]])</f>
        <v>9.2099608857505441E-2</v>
      </c>
      <c r="W124" s="24">
        <f>Table1[[#This Row],[IRR]]*Table1[[#This Row],[Coupon Frequency2]]</f>
        <v>9.2099608857505441E-2</v>
      </c>
      <c r="X124" s="25" cm="1">
        <f t="array" ref="X1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24" s="26">
        <f>DURATION(Table1[[#This Row],[Issue date]],Table1[[#This Row],[Maturity date]],Table1[[#This Row],[Current coupon %]],Table1[[#This Row],[Yield (Annualised)]],Table1[[#This Row],[Coupon Frequency2]])</f>
        <v>4.1196280023588479</v>
      </c>
      <c r="Z124" s="26">
        <f>Table1[[#This Row],[Macaulay Duration in Years]]/(1+Table1[[#This Row],[IRR]])</f>
        <v>3.7722090264903363</v>
      </c>
      <c r="AA124" s="27">
        <f>VLOOKUP(Table1[[#This Row],[Yield Cluster]],'[1]Cluster Details'!$B$3:$C$16,2,0)</f>
        <v>7.8548801574189142E-2</v>
      </c>
      <c r="AB124" s="28">
        <f>PRICE(Table1[[#This Row],[Issue date]],Table1[[#This Row],[Maturity date]],Table1[[#This Row],[Current coupon %]],Table1[[#This Row],[Average Cluster Yield]],100,Table1[[#This Row],[Coupon Frequency2]])*Table1[[#This Row],[Face value]]/100</f>
        <v>1136.0035117807599</v>
      </c>
      <c r="AC124" s="27" t="str">
        <f>IF(Table1[[#This Row],[Ask Price]]&gt;Table1[[#This Row],[Calculated Bond Price]],"Rich","Cheap")</f>
        <v>Cheap</v>
      </c>
      <c r="AD124" s="28">
        <f>PRICE(Table1[[#This Row],[Issue date]],Table1[[#This Row],[Maturity date]],Table1[[#This Row],[Current coupon %]],Table1[[#This Row],[Yield (Annualised)]]+$AE$2,100,Table1[[#This Row],[Coupon Frequency2]])*Table1[[#This Row],[Face value]]/100</f>
        <v>1039.1832771300944</v>
      </c>
      <c r="AE124" s="28">
        <f>PRICE(Table1[[#This Row],[Issue date]],Table1[[#This Row],[Maturity date]],Table1[[#This Row],[Current coupon %]],Table1[[#This Row],[Yield (Annualised)]]-$AE$2,100,Table1[[#This Row],[Coupon Frequency2]])*Table1[[#This Row],[Face value]]/100</f>
        <v>1120.6443723957689</v>
      </c>
      <c r="AF124" s="28">
        <f>(Table1[[#This Row],[P (+ shock)]]+Table1[[#This Row],[P (-shock)]]-2*Table1[[#This Row],[Ask Price]])/(2*Table1[[#This Row],[Ask Price]]*($AE$2^2))</f>
        <v>9.2112924306860648</v>
      </c>
    </row>
    <row r="125" spans="1:32" x14ac:dyDescent="0.25">
      <c r="A125" s="21" t="s">
        <v>335</v>
      </c>
      <c r="B125" s="3" t="s">
        <v>336</v>
      </c>
      <c r="C125" s="3" t="s">
        <v>19</v>
      </c>
      <c r="D125" s="4">
        <v>45573</v>
      </c>
      <c r="E125" s="4">
        <v>49225</v>
      </c>
      <c r="F125" s="3">
        <v>1000</v>
      </c>
      <c r="G125" s="3" t="s">
        <v>20</v>
      </c>
      <c r="H125" s="3">
        <v>1030.8</v>
      </c>
      <c r="I125" s="3" t="s">
        <v>20</v>
      </c>
      <c r="J125" s="3">
        <v>103.08</v>
      </c>
      <c r="K125" s="3">
        <v>100</v>
      </c>
      <c r="L125" s="5">
        <v>0.11</v>
      </c>
      <c r="M125" s="3" t="s">
        <v>21</v>
      </c>
      <c r="N125" s="3">
        <v>3308</v>
      </c>
      <c r="O125" s="6">
        <f>Table1[[#This Row],[Current coupon %]]*Table1[[#This Row],[Face value]]/Table1[[#This Row],[Ask Price]]</f>
        <v>0.10671323244082266</v>
      </c>
      <c r="P125" s="3"/>
      <c r="Q125" s="3" t="s">
        <v>22</v>
      </c>
      <c r="R125">
        <f t="shared" si="1"/>
        <v>10</v>
      </c>
      <c r="S125" s="22" cm="1">
        <f t="array" ref="S125">_xlfn.IFS(Table1[[#This Row],[Coupon frequency]]="Semi-annual",2,Table1[[#This Row],[Coupon frequency]]="Quarterly",4,Table1[[#This Row],[Coupon frequency]]="Annual",1,Table1[[#This Row],[Coupon frequency]]="Every 4 months",3,Table1[[#This Row],[Coupon frequency]]="Monthly",12)</f>
        <v>1</v>
      </c>
      <c r="T125">
        <f>Table1[[#This Row],[Term to Maturity (Years)]]*Table1[[#This Row],[Coupon Frequency2]]</f>
        <v>10</v>
      </c>
      <c r="U125">
        <f>Table1[[#This Row],[Face value]]*Table1[[#This Row],[Current coupon %]]/Table1[[#This Row],[Coupon Frequency2]]</f>
        <v>110</v>
      </c>
      <c r="V125" s="23">
        <f>RATE(Table1[[#This Row],[Total No. of Coupons]],Table1[[#This Row],[Coupon Amount]],-Table1[[#This Row],[Ask Price]],Table1[[#This Row],[Face value]])</f>
        <v>0.10488184218311383</v>
      </c>
      <c r="W125" s="24">
        <f>Table1[[#This Row],[IRR]]*Table1[[#This Row],[Coupon Frequency2]]</f>
        <v>0.10488184218311383</v>
      </c>
      <c r="X125" s="25" cm="1">
        <f t="array" ref="X1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25" s="26">
        <f>DURATION(Table1[[#This Row],[Issue date]],Table1[[#This Row],[Maturity date]],Table1[[#This Row],[Current coupon %]],Table1[[#This Row],[Yield (Annualised)]],Table1[[#This Row],[Coupon Frequency2]])</f>
        <v>6.5904328513223547</v>
      </c>
      <c r="Z125" s="26">
        <f>Table1[[#This Row],[Macaulay Duration in Years]]/(1+Table1[[#This Row],[IRR]])</f>
        <v>5.964830445851522</v>
      </c>
      <c r="AA125" s="27">
        <f>VLOOKUP(Table1[[#This Row],[Yield Cluster]],'[1]Cluster Details'!$B$3:$C$16,2,0)</f>
        <v>0.11069942689191503</v>
      </c>
      <c r="AB125" s="28">
        <f>PRICE(Table1[[#This Row],[Issue date]],Table1[[#This Row],[Maturity date]],Table1[[#This Row],[Current coupon %]],Table1[[#This Row],[Average Cluster Yield]],100,Table1[[#This Row],[Coupon Frequency2]])*Table1[[#This Row],[Face value]]/100</f>
        <v>995.89296541778106</v>
      </c>
      <c r="AC125" s="27" t="str">
        <f>IF(Table1[[#This Row],[Ask Price]]&gt;Table1[[#This Row],[Calculated Bond Price]],"Rich","Cheap")</f>
        <v>Rich</v>
      </c>
      <c r="AD125" s="28">
        <f>PRICE(Table1[[#This Row],[Issue date]],Table1[[#This Row],[Maturity date]],Table1[[#This Row],[Current coupon %]],Table1[[#This Row],[Yield (Annualised)]]+$AE$2,100,Table1[[#This Row],[Coupon Frequency2]])*Table1[[#This Row],[Face value]]/100</f>
        <v>971.82886457470829</v>
      </c>
      <c r="AE125" s="28">
        <f>PRICE(Table1[[#This Row],[Issue date]],Table1[[#This Row],[Maturity date]],Table1[[#This Row],[Current coupon %]],Table1[[#This Row],[Yield (Annualised)]]-$AE$2,100,Table1[[#This Row],[Coupon Frequency2]])*Table1[[#This Row],[Face value]]/100</f>
        <v>1094.9726503504735</v>
      </c>
      <c r="AF125" s="28">
        <f>(Table1[[#This Row],[P (+ shock)]]+Table1[[#This Row],[P (-shock)]]-2*Table1[[#This Row],[Ask Price]])/(2*Table1[[#This Row],[Ask Price]]*($AE$2^2))</f>
        <v>25.230475966152415</v>
      </c>
    </row>
    <row r="126" spans="1:32" x14ac:dyDescent="0.25">
      <c r="A126" s="21" t="s">
        <v>63</v>
      </c>
      <c r="B126" s="3" t="s">
        <v>64</v>
      </c>
      <c r="C126" s="3" t="s">
        <v>19</v>
      </c>
      <c r="D126" s="4">
        <v>45377</v>
      </c>
      <c r="E126" s="4">
        <v>46472</v>
      </c>
      <c r="F126" s="3">
        <v>1000</v>
      </c>
      <c r="G126" s="3" t="s">
        <v>20</v>
      </c>
      <c r="H126" s="3">
        <v>999.8</v>
      </c>
      <c r="I126" s="3" t="s">
        <v>20</v>
      </c>
      <c r="J126" s="3">
        <v>99.979999999999905</v>
      </c>
      <c r="K126" s="3">
        <v>46</v>
      </c>
      <c r="L126" s="5">
        <v>9.9000000000000005E-2</v>
      </c>
      <c r="M126" s="3" t="s">
        <v>21</v>
      </c>
      <c r="N126" s="3">
        <v>555</v>
      </c>
      <c r="O126" s="6">
        <f>Table1[[#This Row],[Current coupon %]]*Table1[[#This Row],[Face value]]/Table1[[#This Row],[Ask Price]]</f>
        <v>9.9019803960792158E-2</v>
      </c>
      <c r="P126" s="3" t="s">
        <v>25</v>
      </c>
      <c r="Q126" s="3" t="s">
        <v>22</v>
      </c>
      <c r="R126">
        <f t="shared" si="1"/>
        <v>3</v>
      </c>
      <c r="S126" s="22" cm="1">
        <f t="array" ref="S126">_xlfn.IFS(Table1[[#This Row],[Coupon frequency]]="Semi-annual",2,Table1[[#This Row],[Coupon frequency]]="Quarterly",4,Table1[[#This Row],[Coupon frequency]]="Annual",1,Table1[[#This Row],[Coupon frequency]]="Every 4 months",3,Table1[[#This Row],[Coupon frequency]]="Monthly",12)</f>
        <v>1</v>
      </c>
      <c r="T126">
        <f>Table1[[#This Row],[Term to Maturity (Years)]]*Table1[[#This Row],[Coupon Frequency2]]</f>
        <v>3</v>
      </c>
      <c r="U126">
        <f>Table1[[#This Row],[Face value]]*Table1[[#This Row],[Current coupon %]]/Table1[[#This Row],[Coupon Frequency2]]</f>
        <v>99</v>
      </c>
      <c r="V126" s="23">
        <f>RATE(Table1[[#This Row],[Total No. of Coupons]],Table1[[#This Row],[Coupon Amount]],-Table1[[#This Row],[Ask Price]],Table1[[#This Row],[Face value]])</f>
        <v>9.9080292776277182E-2</v>
      </c>
      <c r="W126" s="24">
        <f>Table1[[#This Row],[IRR]]*Table1[[#This Row],[Coupon Frequency2]]</f>
        <v>9.9080292776277182E-2</v>
      </c>
      <c r="X126" s="25" cm="1">
        <f t="array" ref="X1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26" s="26">
        <f>DURATION(Table1[[#This Row],[Issue date]],Table1[[#This Row],[Maturity date]],Table1[[#This Row],[Current coupon %]],Table1[[#This Row],[Yield (Annualised)]],Table1[[#This Row],[Coupon Frequency2]])</f>
        <v>2.7378417753259394</v>
      </c>
      <c r="Z126" s="26">
        <f>Table1[[#This Row],[Macaulay Duration in Years]]/(1+Table1[[#This Row],[IRR]])</f>
        <v>2.49102981221704</v>
      </c>
      <c r="AA126" s="27">
        <f>VLOOKUP(Table1[[#This Row],[Yield Cluster]],'[1]Cluster Details'!$B$3:$C$16,2,0)</f>
        <v>7.8548801574189142E-2</v>
      </c>
      <c r="AB126" s="28">
        <f>PRICE(Table1[[#This Row],[Issue date]],Table1[[#This Row],[Maturity date]],Table1[[#This Row],[Current coupon %]],Table1[[#This Row],[Average Cluster Yield]],100,Table1[[#This Row],[Coupon Frequency2]])*Table1[[#This Row],[Face value]]/100</f>
        <v>1052.8430364273456</v>
      </c>
      <c r="AC126" s="27" t="str">
        <f>IF(Table1[[#This Row],[Ask Price]]&gt;Table1[[#This Row],[Calculated Bond Price]],"Rich","Cheap")</f>
        <v>Cheap</v>
      </c>
      <c r="AD126" s="28">
        <f>PRICE(Table1[[#This Row],[Issue date]],Table1[[#This Row],[Maturity date]],Table1[[#This Row],[Current coupon %]],Table1[[#This Row],[Yield (Annualised)]]+$AE$2,100,Table1[[#This Row],[Coupon Frequency2]])*Table1[[#This Row],[Face value]]/100</f>
        <v>975.32718345715364</v>
      </c>
      <c r="AE126" s="28">
        <f>PRICE(Table1[[#This Row],[Issue date]],Table1[[#This Row],[Maturity date]],Table1[[#This Row],[Current coupon %]],Table1[[#This Row],[Yield (Annualised)]]-$AE$2,100,Table1[[#This Row],[Coupon Frequency2]])*Table1[[#This Row],[Face value]]/100</f>
        <v>1025.1509169044473</v>
      </c>
      <c r="AF126" s="28">
        <f>(Table1[[#This Row],[P (+ shock)]]+Table1[[#This Row],[P (-shock)]]-2*Table1[[#This Row],[Ask Price]])/(2*Table1[[#This Row],[Ask Price]]*($AE$2^2))</f>
        <v>4.3913800840213053</v>
      </c>
    </row>
    <row r="127" spans="1:32" x14ac:dyDescent="0.25">
      <c r="A127" s="21" t="s">
        <v>337</v>
      </c>
      <c r="B127" s="3" t="s">
        <v>338</v>
      </c>
      <c r="C127" s="3" t="s">
        <v>19</v>
      </c>
      <c r="D127" s="4">
        <v>45511</v>
      </c>
      <c r="E127" s="4">
        <v>47337</v>
      </c>
      <c r="F127" s="3">
        <v>1000</v>
      </c>
      <c r="G127" s="3" t="s">
        <v>20</v>
      </c>
      <c r="H127" s="3">
        <v>998</v>
      </c>
      <c r="I127" s="3" t="s">
        <v>20</v>
      </c>
      <c r="J127" s="3">
        <v>99.8</v>
      </c>
      <c r="K127" s="3">
        <v>58</v>
      </c>
      <c r="L127" s="5">
        <v>0.10400000000000001</v>
      </c>
      <c r="M127" s="3" t="s">
        <v>21</v>
      </c>
      <c r="N127" s="3">
        <v>1420</v>
      </c>
      <c r="O127" s="6">
        <f>Table1[[#This Row],[Current coupon %]]*Table1[[#This Row],[Face value]]/Table1[[#This Row],[Ask Price]]</f>
        <v>0.10420841683366736</v>
      </c>
      <c r="P127" s="3"/>
      <c r="Q127" s="3" t="s">
        <v>22</v>
      </c>
      <c r="R127">
        <f t="shared" si="1"/>
        <v>5</v>
      </c>
      <c r="S127" s="22" cm="1">
        <f t="array" ref="S127">_xlfn.IFS(Table1[[#This Row],[Coupon frequency]]="Semi-annual",2,Table1[[#This Row],[Coupon frequency]]="Quarterly",4,Table1[[#This Row],[Coupon frequency]]="Annual",1,Table1[[#This Row],[Coupon frequency]]="Every 4 months",3,Table1[[#This Row],[Coupon frequency]]="Monthly",12)</f>
        <v>1</v>
      </c>
      <c r="T127">
        <f>Table1[[#This Row],[Term to Maturity (Years)]]*Table1[[#This Row],[Coupon Frequency2]]</f>
        <v>5</v>
      </c>
      <c r="U127">
        <f>Table1[[#This Row],[Face value]]*Table1[[#This Row],[Current coupon %]]/Table1[[#This Row],[Coupon Frequency2]]</f>
        <v>104.00000000000001</v>
      </c>
      <c r="V127" s="23">
        <f>RATE(Table1[[#This Row],[Total No. of Coupons]],Table1[[#This Row],[Coupon Amount]],-Table1[[#This Row],[Ask Price]],Table1[[#This Row],[Face value]])</f>
        <v>0.10453371952463993</v>
      </c>
      <c r="W127" s="24">
        <f>Table1[[#This Row],[IRR]]*Table1[[#This Row],[Coupon Frequency2]]</f>
        <v>0.10453371952463993</v>
      </c>
      <c r="X127" s="25" cm="1">
        <f t="array" ref="X1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27" s="26">
        <f>DURATION(Table1[[#This Row],[Issue date]],Table1[[#This Row],[Maturity date]],Table1[[#This Row],[Current coupon %]],Table1[[#This Row],[Yield (Annualised)]],Table1[[#This Row],[Coupon Frequency2]])</f>
        <v>4.141683726156451</v>
      </c>
      <c r="Z127" s="26">
        <f>Table1[[#This Row],[Macaulay Duration in Years]]/(1+Table1[[#This Row],[IRR]])</f>
        <v>3.7497123473413874</v>
      </c>
      <c r="AA127" s="27">
        <f>VLOOKUP(Table1[[#This Row],[Yield Cluster]],'[1]Cluster Details'!$B$3:$C$16,2,0)</f>
        <v>0.11069942689191503</v>
      </c>
      <c r="AB127" s="28">
        <f>PRICE(Table1[[#This Row],[Issue date]],Table1[[#This Row],[Maturity date]],Table1[[#This Row],[Current coupon %]],Table1[[#This Row],[Average Cluster Yield]],100,Table1[[#This Row],[Coupon Frequency2]])*Table1[[#This Row],[Face value]]/100</f>
        <v>975.28311094036326</v>
      </c>
      <c r="AC127" s="27" t="str">
        <f>IF(Table1[[#This Row],[Ask Price]]&gt;Table1[[#This Row],[Calculated Bond Price]],"Rich","Cheap")</f>
        <v>Rich</v>
      </c>
      <c r="AD127" s="28">
        <f>PRICE(Table1[[#This Row],[Issue date]],Table1[[#This Row],[Maturity date]],Table1[[#This Row],[Current coupon %]],Table1[[#This Row],[Yield (Annualised)]]+$AE$2,100,Table1[[#This Row],[Coupon Frequency2]])*Table1[[#This Row],[Face value]]/100</f>
        <v>961.50841683466012</v>
      </c>
      <c r="AE127" s="28">
        <f>PRICE(Table1[[#This Row],[Issue date]],Table1[[#This Row],[Maturity date]],Table1[[#This Row],[Current coupon %]],Table1[[#This Row],[Yield (Annualised)]]-$AE$2,100,Table1[[#This Row],[Coupon Frequency2]])*Table1[[#This Row],[Face value]]/100</f>
        <v>1036.3914365301716</v>
      </c>
      <c r="AF127" s="28">
        <f>(Table1[[#This Row],[P (+ shock)]]+Table1[[#This Row],[P (-shock)]]-2*Table1[[#This Row],[Ask Price]])/(2*Table1[[#This Row],[Ask Price]]*($AE$2^2))</f>
        <v>9.5183034310213923</v>
      </c>
    </row>
    <row r="128" spans="1:32" x14ac:dyDescent="0.25">
      <c r="A128" s="21" t="s">
        <v>339</v>
      </c>
      <c r="B128" s="3" t="s">
        <v>340</v>
      </c>
      <c r="C128" s="3" t="s">
        <v>19</v>
      </c>
      <c r="D128" s="4">
        <v>44852</v>
      </c>
      <c r="E128" s="4">
        <v>46676</v>
      </c>
      <c r="F128" s="3">
        <v>1000</v>
      </c>
      <c r="G128" s="3" t="s">
        <v>20</v>
      </c>
      <c r="H128" s="3">
        <v>1032</v>
      </c>
      <c r="I128" s="3" t="s">
        <v>20</v>
      </c>
      <c r="J128" s="3">
        <v>103.2</v>
      </c>
      <c r="K128" s="3">
        <v>60</v>
      </c>
      <c r="L128" s="5">
        <v>0.1075</v>
      </c>
      <c r="M128" s="3" t="s">
        <v>21</v>
      </c>
      <c r="N128" s="3">
        <v>759</v>
      </c>
      <c r="O128" s="6">
        <f>Table1[[#This Row],[Current coupon %]]*Table1[[#This Row],[Face value]]/Table1[[#This Row],[Ask Price]]</f>
        <v>0.10416666666666667</v>
      </c>
      <c r="P128" s="3"/>
      <c r="Q128" s="3" t="s">
        <v>22</v>
      </c>
      <c r="R128">
        <f t="shared" si="1"/>
        <v>5</v>
      </c>
      <c r="S128" s="22" cm="1">
        <f t="array" ref="S128">_xlfn.IFS(Table1[[#This Row],[Coupon frequency]]="Semi-annual",2,Table1[[#This Row],[Coupon frequency]]="Quarterly",4,Table1[[#This Row],[Coupon frequency]]="Annual",1,Table1[[#This Row],[Coupon frequency]]="Every 4 months",3,Table1[[#This Row],[Coupon frequency]]="Monthly",12)</f>
        <v>1</v>
      </c>
      <c r="T128">
        <f>Table1[[#This Row],[Term to Maturity (Years)]]*Table1[[#This Row],[Coupon Frequency2]]</f>
        <v>5</v>
      </c>
      <c r="U128">
        <f>Table1[[#This Row],[Face value]]*Table1[[#This Row],[Current coupon %]]/Table1[[#This Row],[Coupon Frequency2]]</f>
        <v>107.5</v>
      </c>
      <c r="V128" s="23">
        <f>RATE(Table1[[#This Row],[Total No. of Coupons]],Table1[[#This Row],[Coupon Amount]],-Table1[[#This Row],[Ask Price]],Table1[[#This Row],[Face value]])</f>
        <v>9.9078347035433445E-2</v>
      </c>
      <c r="W128" s="24">
        <f>Table1[[#This Row],[IRR]]*Table1[[#This Row],[Coupon Frequency2]]</f>
        <v>9.9078347035433445E-2</v>
      </c>
      <c r="X128" s="25" cm="1">
        <f t="array" ref="X1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28" s="26">
        <f>DURATION(Table1[[#This Row],[Issue date]],Table1[[#This Row],[Maturity date]],Table1[[#This Row],[Current coupon %]],Table1[[#This Row],[Yield (Annualised)]],Table1[[#This Row],[Coupon Frequency2]])</f>
        <v>4.1283369382069877</v>
      </c>
      <c r="Z128" s="26">
        <f>Table1[[#This Row],[Macaulay Duration in Years]]/(1+Table1[[#This Row],[IRR]])</f>
        <v>3.7561807575796897</v>
      </c>
      <c r="AA128" s="27">
        <f>VLOOKUP(Table1[[#This Row],[Yield Cluster]],'[1]Cluster Details'!$B$3:$C$16,2,0)</f>
        <v>7.8548801574189142E-2</v>
      </c>
      <c r="AB128" s="28">
        <f>PRICE(Table1[[#This Row],[Issue date]],Table1[[#This Row],[Maturity date]],Table1[[#This Row],[Current coupon %]],Table1[[#This Row],[Average Cluster Yield]],100,Table1[[#This Row],[Coupon Frequency2]])*Table1[[#This Row],[Face value]]/100</f>
        <v>1115.90893171942</v>
      </c>
      <c r="AC128" s="27" t="str">
        <f>IF(Table1[[#This Row],[Ask Price]]&gt;Table1[[#This Row],[Calculated Bond Price]],"Rich","Cheap")</f>
        <v>Cheap</v>
      </c>
      <c r="AD128" s="28">
        <f>PRICE(Table1[[#This Row],[Issue date]],Table1[[#This Row],[Maturity date]],Table1[[#This Row],[Current coupon %]],Table1[[#This Row],[Yield (Annualised)]]+$AE$2,100,Table1[[#This Row],[Coupon Frequency2]])*Table1[[#This Row],[Face value]]/100</f>
        <v>994.12778442438798</v>
      </c>
      <c r="AE128" s="28">
        <f>PRICE(Table1[[#This Row],[Issue date]],Table1[[#This Row],[Maturity date]],Table1[[#This Row],[Current coupon %]],Table1[[#This Row],[Yield (Annualised)]]-$AE$2,100,Table1[[#This Row],[Coupon Frequency2]])*Table1[[#This Row],[Face value]]/100</f>
        <v>1071.7365002877962</v>
      </c>
      <c r="AF128" s="28">
        <f>(Table1[[#This Row],[P (+ shock)]]+Table1[[#This Row],[P (-shock)]]-2*Table1[[#This Row],[Ask Price]])/(2*Table1[[#This Row],[Ask Price]]*($AE$2^2))</f>
        <v>9.0323871714348076</v>
      </c>
    </row>
    <row r="129" spans="1:32" x14ac:dyDescent="0.25">
      <c r="A129" s="21" t="s">
        <v>341</v>
      </c>
      <c r="B129" s="3" t="s">
        <v>342</v>
      </c>
      <c r="C129" s="3" t="s">
        <v>19</v>
      </c>
      <c r="D129" s="4">
        <v>40967</v>
      </c>
      <c r="E129" s="4">
        <v>46446</v>
      </c>
      <c r="F129" s="3">
        <v>10000</v>
      </c>
      <c r="G129" s="3" t="s">
        <v>20</v>
      </c>
      <c r="H129" s="3">
        <v>10200</v>
      </c>
      <c r="I129" s="3" t="s">
        <v>20</v>
      </c>
      <c r="J129" s="3">
        <v>102</v>
      </c>
      <c r="K129" s="3">
        <v>100</v>
      </c>
      <c r="L129" s="5">
        <v>0.107</v>
      </c>
      <c r="M129" s="3" t="s">
        <v>21</v>
      </c>
      <c r="N129" s="3">
        <v>529</v>
      </c>
      <c r="O129" s="6">
        <f>Table1[[#This Row],[Current coupon %]]*Table1[[#This Row],[Face value]]/Table1[[#This Row],[Ask Price]]</f>
        <v>0.10490196078431373</v>
      </c>
      <c r="P129" s="3"/>
      <c r="Q129" s="3" t="s">
        <v>22</v>
      </c>
      <c r="R129">
        <f t="shared" si="1"/>
        <v>15</v>
      </c>
      <c r="S129" s="22" cm="1">
        <f t="array" ref="S129">_xlfn.IFS(Table1[[#This Row],[Coupon frequency]]="Semi-annual",2,Table1[[#This Row],[Coupon frequency]]="Quarterly",4,Table1[[#This Row],[Coupon frequency]]="Annual",1,Table1[[#This Row],[Coupon frequency]]="Every 4 months",3,Table1[[#This Row],[Coupon frequency]]="Monthly",12)</f>
        <v>1</v>
      </c>
      <c r="T129">
        <f>Table1[[#This Row],[Term to Maturity (Years)]]*Table1[[#This Row],[Coupon Frequency2]]</f>
        <v>15</v>
      </c>
      <c r="U129">
        <f>Table1[[#This Row],[Face value]]*Table1[[#This Row],[Current coupon %]]/Table1[[#This Row],[Coupon Frequency2]]</f>
        <v>1070</v>
      </c>
      <c r="V129" s="23">
        <f>RATE(Table1[[#This Row],[Total No. of Coupons]],Table1[[#This Row],[Coupon Amount]],-Table1[[#This Row],[Ask Price]],Table1[[#This Row],[Face value]])</f>
        <v>0.10430557557981329</v>
      </c>
      <c r="W129" s="24">
        <f>Table1[[#This Row],[IRR]]*Table1[[#This Row],[Coupon Frequency2]]</f>
        <v>0.10430557557981329</v>
      </c>
      <c r="X129" s="25" cm="1">
        <f t="array" ref="X1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29" s="26">
        <f>DURATION(Table1[[#This Row],[Issue date]],Table1[[#This Row],[Maturity date]],Table1[[#This Row],[Current coupon %]],Table1[[#This Row],[Yield (Annualised)]],Table1[[#This Row],[Coupon Frequency2]])</f>
        <v>7.3890801207586554</v>
      </c>
      <c r="Z129" s="26">
        <f>Table1[[#This Row],[Macaulay Duration in Years]]/(1+Table1[[#This Row],[IRR]])</f>
        <v>6.6911553143965925</v>
      </c>
      <c r="AA129" s="27">
        <f>VLOOKUP(Table1[[#This Row],[Yield Cluster]],'[1]Cluster Details'!$B$3:$C$16,2,0)</f>
        <v>0.11069942689191503</v>
      </c>
      <c r="AB129" s="28">
        <f>PRICE(Table1[[#This Row],[Issue date]],Table1[[#This Row],[Maturity date]],Table1[[#This Row],[Current coupon %]],Table1[[#This Row],[Average Cluster Yield]],100,Table1[[#This Row],[Coupon Frequency2]])*Table1[[#This Row],[Face value]]/100</f>
        <v>9734.6469399563975</v>
      </c>
      <c r="AC129" s="27" t="str">
        <f>IF(Table1[[#This Row],[Ask Price]]&gt;Table1[[#This Row],[Calculated Bond Price]],"Rich","Cheap")</f>
        <v>Rich</v>
      </c>
      <c r="AD129" s="28">
        <f>PRICE(Table1[[#This Row],[Issue date]],Table1[[#This Row],[Maturity date]],Table1[[#This Row],[Current coupon %]],Table1[[#This Row],[Yield (Annualised)]]+$AE$2,100,Table1[[#This Row],[Coupon Frequency2]])*Table1[[#This Row],[Face value]]/100</f>
        <v>9486.5159232434016</v>
      </c>
      <c r="AE129" s="28">
        <f>PRICE(Table1[[#This Row],[Issue date]],Table1[[#This Row],[Maturity date]],Table1[[#This Row],[Current coupon %]],Table1[[#This Row],[Yield (Annualised)]]-$AE$2,100,Table1[[#This Row],[Coupon Frequency2]])*Table1[[#This Row],[Face value]]/100</f>
        <v>10997.664345890535</v>
      </c>
      <c r="AF129" s="28">
        <f>(Table1[[#This Row],[P (+ shock)]]+Table1[[#This Row],[P (-shock)]]-2*Table1[[#This Row],[Ask Price]])/(2*Table1[[#This Row],[Ask Price]]*($AE$2^2))</f>
        <v>41.264837810753058</v>
      </c>
    </row>
    <row r="130" spans="1:32" x14ac:dyDescent="0.25">
      <c r="A130" s="21" t="s">
        <v>343</v>
      </c>
      <c r="B130" s="3" t="s">
        <v>344</v>
      </c>
      <c r="C130" s="3" t="s">
        <v>19</v>
      </c>
      <c r="D130" s="4">
        <v>45476</v>
      </c>
      <c r="E130" s="4">
        <v>47302</v>
      </c>
      <c r="F130" s="3">
        <v>1000</v>
      </c>
      <c r="G130" s="3" t="s">
        <v>20</v>
      </c>
      <c r="H130" s="3">
        <v>1010</v>
      </c>
      <c r="I130" s="3" t="s">
        <v>20</v>
      </c>
      <c r="J130" s="3">
        <v>101</v>
      </c>
      <c r="K130" s="3">
        <v>10</v>
      </c>
      <c r="L130" s="5">
        <v>0.105</v>
      </c>
      <c r="M130" s="3" t="s">
        <v>21</v>
      </c>
      <c r="N130" s="3">
        <v>1385</v>
      </c>
      <c r="O130" s="6">
        <f>Table1[[#This Row],[Current coupon %]]*Table1[[#This Row],[Face value]]/Table1[[#This Row],[Ask Price]]</f>
        <v>0.10396039603960396</v>
      </c>
      <c r="P130" s="3"/>
      <c r="Q130" s="3" t="s">
        <v>22</v>
      </c>
      <c r="R130">
        <f t="shared" si="1"/>
        <v>5</v>
      </c>
      <c r="S130" s="22" cm="1">
        <f t="array" ref="S130">_xlfn.IFS(Table1[[#This Row],[Coupon frequency]]="Semi-annual",2,Table1[[#This Row],[Coupon frequency]]="Quarterly",4,Table1[[#This Row],[Coupon frequency]]="Annual",1,Table1[[#This Row],[Coupon frequency]]="Every 4 months",3,Table1[[#This Row],[Coupon frequency]]="Monthly",12)</f>
        <v>1</v>
      </c>
      <c r="T130">
        <f>Table1[[#This Row],[Term to Maturity (Years)]]*Table1[[#This Row],[Coupon Frequency2]]</f>
        <v>5</v>
      </c>
      <c r="U130">
        <f>Table1[[#This Row],[Face value]]*Table1[[#This Row],[Current coupon %]]/Table1[[#This Row],[Coupon Frequency2]]</f>
        <v>105</v>
      </c>
      <c r="V130" s="23">
        <f>RATE(Table1[[#This Row],[Total No. of Coupons]],Table1[[#This Row],[Coupon Amount]],-Table1[[#This Row],[Ask Price]],Table1[[#This Row],[Face value]])</f>
        <v>0.10234619524471776</v>
      </c>
      <c r="W130" s="24">
        <f>Table1[[#This Row],[IRR]]*Table1[[#This Row],[Coupon Frequency2]]</f>
        <v>0.10234619524471776</v>
      </c>
      <c r="X130" s="25" cm="1">
        <f t="array" ref="X1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0" s="26">
        <f>DURATION(Table1[[#This Row],[Issue date]],Table1[[#This Row],[Maturity date]],Table1[[#This Row],[Current coupon %]],Table1[[#This Row],[Yield (Annualised)]],Table1[[#This Row],[Coupon Frequency2]])</f>
        <v>4.1404873527379724</v>
      </c>
      <c r="Z130" s="26">
        <f>Table1[[#This Row],[Macaulay Duration in Years]]/(1+Table1[[#This Row],[IRR]])</f>
        <v>3.7560680760718692</v>
      </c>
      <c r="AA130" s="27">
        <f>VLOOKUP(Table1[[#This Row],[Yield Cluster]],'[1]Cluster Details'!$B$3:$C$16,2,0)</f>
        <v>0.11069942689191503</v>
      </c>
      <c r="AB130" s="28">
        <f>PRICE(Table1[[#This Row],[Issue date]],Table1[[#This Row],[Maturity date]],Table1[[#This Row],[Current coupon %]],Table1[[#This Row],[Average Cluster Yield]],100,Table1[[#This Row],[Coupon Frequency2]])*Table1[[#This Row],[Face value]]/100</f>
        <v>978.97251444582798</v>
      </c>
      <c r="AC130" s="27" t="str">
        <f>IF(Table1[[#This Row],[Ask Price]]&gt;Table1[[#This Row],[Calculated Bond Price]],"Rich","Cheap")</f>
        <v>Rich</v>
      </c>
      <c r="AD130" s="28">
        <f>PRICE(Table1[[#This Row],[Issue date]],Table1[[#This Row],[Maturity date]],Table1[[#This Row],[Current coupon %]],Table1[[#This Row],[Yield (Annualised)]]+$AE$2,100,Table1[[#This Row],[Coupon Frequency2]])*Table1[[#This Row],[Face value]]/100</f>
        <v>973.00870324252287</v>
      </c>
      <c r="AE130" s="28">
        <f>PRICE(Table1[[#This Row],[Issue date]],Table1[[#This Row],[Maturity date]],Table1[[#This Row],[Current coupon %]],Table1[[#This Row],[Yield (Annualised)]]-$AE$2,100,Table1[[#This Row],[Coupon Frequency2]])*Table1[[#This Row],[Face value]]/100</f>
        <v>1048.9207161145098</v>
      </c>
      <c r="AF130" s="28">
        <f>(Table1[[#This Row],[P (+ shock)]]+Table1[[#This Row],[P (-shock)]]-2*Table1[[#This Row],[Ask Price]])/(2*Table1[[#This Row],[Ask Price]]*($AE$2^2))</f>
        <v>9.5515809754091929</v>
      </c>
    </row>
    <row r="131" spans="1:32" x14ac:dyDescent="0.25">
      <c r="A131" s="21" t="s">
        <v>345</v>
      </c>
      <c r="B131" s="3" t="s">
        <v>346</v>
      </c>
      <c r="C131" s="3" t="s">
        <v>19</v>
      </c>
      <c r="D131" s="4">
        <v>45771</v>
      </c>
      <c r="E131" s="4">
        <v>47597</v>
      </c>
      <c r="F131" s="3">
        <v>1000</v>
      </c>
      <c r="G131" s="3" t="s">
        <v>20</v>
      </c>
      <c r="H131" s="3">
        <v>1010</v>
      </c>
      <c r="I131" s="3" t="s">
        <v>20</v>
      </c>
      <c r="J131" s="3">
        <v>101</v>
      </c>
      <c r="K131" s="3">
        <v>100</v>
      </c>
      <c r="L131" s="5">
        <v>0.105</v>
      </c>
      <c r="M131" s="3" t="s">
        <v>21</v>
      </c>
      <c r="N131" s="3">
        <v>1680</v>
      </c>
      <c r="O131" s="6">
        <f>Table1[[#This Row],[Current coupon %]]*Table1[[#This Row],[Face value]]/Table1[[#This Row],[Ask Price]]</f>
        <v>0.10396039603960396</v>
      </c>
      <c r="P131" s="3"/>
      <c r="Q131" s="3" t="s">
        <v>22</v>
      </c>
      <c r="R131">
        <f t="shared" si="1"/>
        <v>5</v>
      </c>
      <c r="S131" s="22" cm="1">
        <f t="array" ref="S131">_xlfn.IFS(Table1[[#This Row],[Coupon frequency]]="Semi-annual",2,Table1[[#This Row],[Coupon frequency]]="Quarterly",4,Table1[[#This Row],[Coupon frequency]]="Annual",1,Table1[[#This Row],[Coupon frequency]]="Every 4 months",3,Table1[[#This Row],[Coupon frequency]]="Monthly",12)</f>
        <v>1</v>
      </c>
      <c r="T131">
        <f>Table1[[#This Row],[Term to Maturity (Years)]]*Table1[[#This Row],[Coupon Frequency2]]</f>
        <v>5</v>
      </c>
      <c r="U131">
        <f>Table1[[#This Row],[Face value]]*Table1[[#This Row],[Current coupon %]]/Table1[[#This Row],[Coupon Frequency2]]</f>
        <v>105</v>
      </c>
      <c r="V131" s="23">
        <f>RATE(Table1[[#This Row],[Total No. of Coupons]],Table1[[#This Row],[Coupon Amount]],-Table1[[#This Row],[Ask Price]],Table1[[#This Row],[Face value]])</f>
        <v>0.10234619524471776</v>
      </c>
      <c r="W131" s="24">
        <f>Table1[[#This Row],[IRR]]*Table1[[#This Row],[Coupon Frequency2]]</f>
        <v>0.10234619524471776</v>
      </c>
      <c r="X131" s="25" cm="1">
        <f t="array" ref="X1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1" s="26">
        <f>DURATION(Table1[[#This Row],[Issue date]],Table1[[#This Row],[Maturity date]],Table1[[#This Row],[Current coupon %]],Table1[[#This Row],[Yield (Annualised)]],Table1[[#This Row],[Coupon Frequency2]])</f>
        <v>4.1404873527379724</v>
      </c>
      <c r="Z131" s="26">
        <f>Table1[[#This Row],[Macaulay Duration in Years]]/(1+Table1[[#This Row],[IRR]])</f>
        <v>3.7560680760718692</v>
      </c>
      <c r="AA131" s="27">
        <f>VLOOKUP(Table1[[#This Row],[Yield Cluster]],'[1]Cluster Details'!$B$3:$C$16,2,0)</f>
        <v>0.11069942689191503</v>
      </c>
      <c r="AB131" s="28">
        <f>PRICE(Table1[[#This Row],[Issue date]],Table1[[#This Row],[Maturity date]],Table1[[#This Row],[Current coupon %]],Table1[[#This Row],[Average Cluster Yield]],100,Table1[[#This Row],[Coupon Frequency2]])*Table1[[#This Row],[Face value]]/100</f>
        <v>978.97251444582798</v>
      </c>
      <c r="AC131" s="27" t="str">
        <f>IF(Table1[[#This Row],[Ask Price]]&gt;Table1[[#This Row],[Calculated Bond Price]],"Rich","Cheap")</f>
        <v>Rich</v>
      </c>
      <c r="AD131" s="28">
        <f>PRICE(Table1[[#This Row],[Issue date]],Table1[[#This Row],[Maturity date]],Table1[[#This Row],[Current coupon %]],Table1[[#This Row],[Yield (Annualised)]]+$AE$2,100,Table1[[#This Row],[Coupon Frequency2]])*Table1[[#This Row],[Face value]]/100</f>
        <v>973.00870324252287</v>
      </c>
      <c r="AE131" s="28">
        <f>PRICE(Table1[[#This Row],[Issue date]],Table1[[#This Row],[Maturity date]],Table1[[#This Row],[Current coupon %]],Table1[[#This Row],[Yield (Annualised)]]-$AE$2,100,Table1[[#This Row],[Coupon Frequency2]])*Table1[[#This Row],[Face value]]/100</f>
        <v>1048.9207161145098</v>
      </c>
      <c r="AF131" s="28">
        <f>(Table1[[#This Row],[P (+ shock)]]+Table1[[#This Row],[P (-shock)]]-2*Table1[[#This Row],[Ask Price]])/(2*Table1[[#This Row],[Ask Price]]*($AE$2^2))</f>
        <v>9.5515809754091929</v>
      </c>
    </row>
    <row r="132" spans="1:32" x14ac:dyDescent="0.25">
      <c r="A132" s="21" t="s">
        <v>347</v>
      </c>
      <c r="B132" s="3" t="s">
        <v>348</v>
      </c>
      <c r="C132" s="3" t="s">
        <v>19</v>
      </c>
      <c r="D132" s="4">
        <v>43503</v>
      </c>
      <c r="E132" s="4">
        <v>47156</v>
      </c>
      <c r="F132" s="3">
        <v>1000</v>
      </c>
      <c r="G132" s="3" t="s">
        <v>20</v>
      </c>
      <c r="H132" s="3">
        <v>1007</v>
      </c>
      <c r="I132" s="3" t="s">
        <v>20</v>
      </c>
      <c r="J132" s="3">
        <v>100.69999999999899</v>
      </c>
      <c r="K132" s="3">
        <v>250</v>
      </c>
      <c r="L132" s="5">
        <v>0.105</v>
      </c>
      <c r="M132" s="3" t="s">
        <v>21</v>
      </c>
      <c r="N132" s="3">
        <v>1239</v>
      </c>
      <c r="O132" s="6">
        <f>Table1[[#This Row],[Current coupon %]]*Table1[[#This Row],[Face value]]/Table1[[#This Row],[Ask Price]]</f>
        <v>0.10427010923535253</v>
      </c>
      <c r="P132" s="3"/>
      <c r="Q132" s="3" t="s">
        <v>22</v>
      </c>
      <c r="R132">
        <f t="shared" ref="R132:R195" si="2">ROUND(YEARFRAC(D132,E132),0)</f>
        <v>10</v>
      </c>
      <c r="S132" s="22" cm="1">
        <f t="array" ref="S132">_xlfn.IFS(Table1[[#This Row],[Coupon frequency]]="Semi-annual",2,Table1[[#This Row],[Coupon frequency]]="Quarterly",4,Table1[[#This Row],[Coupon frequency]]="Annual",1,Table1[[#This Row],[Coupon frequency]]="Every 4 months",3,Table1[[#This Row],[Coupon frequency]]="Monthly",12)</f>
        <v>1</v>
      </c>
      <c r="T132">
        <f>Table1[[#This Row],[Term to Maturity (Years)]]*Table1[[#This Row],[Coupon Frequency2]]</f>
        <v>10</v>
      </c>
      <c r="U132">
        <f>Table1[[#This Row],[Face value]]*Table1[[#This Row],[Current coupon %]]/Table1[[#This Row],[Coupon Frequency2]]</f>
        <v>105</v>
      </c>
      <c r="V132" s="23">
        <f>RATE(Table1[[#This Row],[Total No. of Coupons]],Table1[[#This Row],[Coupon Amount]],-Table1[[#This Row],[Ask Price]],Table1[[#This Row],[Face value]])</f>
        <v>0.10384191289183796</v>
      </c>
      <c r="W132" s="24">
        <f>Table1[[#This Row],[IRR]]*Table1[[#This Row],[Coupon Frequency2]]</f>
        <v>0.10384191289183796</v>
      </c>
      <c r="X132" s="25" cm="1">
        <f t="array" ref="X1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2" s="26">
        <f>DURATION(Table1[[#This Row],[Issue date]],Table1[[#This Row],[Maturity date]],Table1[[#This Row],[Current coupon %]],Table1[[#This Row],[Yield (Annualised)]],Table1[[#This Row],[Coupon Frequency2]])</f>
        <v>6.658394953505347</v>
      </c>
      <c r="Z132" s="26">
        <f>Table1[[#This Row],[Macaulay Duration in Years]]/(1+Table1[[#This Row],[IRR]])</f>
        <v>6.0320186031546186</v>
      </c>
      <c r="AA132" s="27">
        <f>VLOOKUP(Table1[[#This Row],[Yield Cluster]],'[1]Cluster Details'!$B$3:$C$16,2,0)</f>
        <v>0.11069942689191503</v>
      </c>
      <c r="AB132" s="28">
        <f>PRICE(Table1[[#This Row],[Issue date]],Table1[[#This Row],[Maturity date]],Table1[[#This Row],[Current coupon %]],Table1[[#This Row],[Average Cluster Yield]],100,Table1[[#This Row],[Coupon Frequency2]])*Table1[[#This Row],[Face value]]/100</f>
        <v>966.53296632642775</v>
      </c>
      <c r="AC132" s="27" t="str">
        <f>IF(Table1[[#This Row],[Ask Price]]&gt;Table1[[#This Row],[Calculated Bond Price]],"Rich","Cheap")</f>
        <v>Rich</v>
      </c>
      <c r="AD132" s="28">
        <f>PRICE(Table1[[#This Row],[Issue date]],Table1[[#This Row],[Maturity date]],Table1[[#This Row],[Current coupon %]],Table1[[#This Row],[Yield (Annualised)]]+$AE$2,100,Table1[[#This Row],[Coupon Frequency2]])*Table1[[#This Row],[Face value]]/100</f>
        <v>948.75625964746462</v>
      </c>
      <c r="AE132" s="28">
        <f>PRICE(Table1[[#This Row],[Issue date]],Table1[[#This Row],[Maturity date]],Table1[[#This Row],[Current coupon %]],Table1[[#This Row],[Yield (Annualised)]]-$AE$2,100,Table1[[#This Row],[Coupon Frequency2]])*Table1[[#This Row],[Face value]]/100</f>
        <v>1070.4135689265556</v>
      </c>
      <c r="AF132" s="28">
        <f>(Table1[[#This Row],[P (+ shock)]]+Table1[[#This Row],[P (-shock)]]-2*Table1[[#This Row],[Ask Price]])/(2*Table1[[#This Row],[Ask Price]]*($AE$2^2))</f>
        <v>25.669456673388066</v>
      </c>
    </row>
    <row r="133" spans="1:32" x14ac:dyDescent="0.25">
      <c r="A133" s="21" t="s">
        <v>349</v>
      </c>
      <c r="B133" s="3" t="s">
        <v>350</v>
      </c>
      <c r="C133" s="3" t="s">
        <v>19</v>
      </c>
      <c r="D133" s="4">
        <v>45862</v>
      </c>
      <c r="E133" s="4">
        <v>47688</v>
      </c>
      <c r="F133" s="3">
        <v>1000</v>
      </c>
      <c r="G133" s="3" t="s">
        <v>20</v>
      </c>
      <c r="H133" s="3">
        <v>988</v>
      </c>
      <c r="I133" s="3" t="s">
        <v>20</v>
      </c>
      <c r="J133" s="3">
        <v>98.8</v>
      </c>
      <c r="K133" s="3">
        <v>74</v>
      </c>
      <c r="L133" s="5">
        <v>0.10249999999999999</v>
      </c>
      <c r="M133" s="3" t="s">
        <v>21</v>
      </c>
      <c r="N133" s="3">
        <v>1771</v>
      </c>
      <c r="O133" s="6">
        <f>Table1[[#This Row],[Current coupon %]]*Table1[[#This Row],[Face value]]/Table1[[#This Row],[Ask Price]]</f>
        <v>0.10374493927125505</v>
      </c>
      <c r="P133" s="3"/>
      <c r="Q133" s="3" t="s">
        <v>22</v>
      </c>
      <c r="R133">
        <f t="shared" si="2"/>
        <v>5</v>
      </c>
      <c r="S133" s="22" cm="1">
        <f t="array" ref="S133">_xlfn.IFS(Table1[[#This Row],[Coupon frequency]]="Semi-annual",2,Table1[[#This Row],[Coupon frequency]]="Quarterly",4,Table1[[#This Row],[Coupon frequency]]="Annual",1,Table1[[#This Row],[Coupon frequency]]="Every 4 months",3,Table1[[#This Row],[Coupon frequency]]="Monthly",12)</f>
        <v>1</v>
      </c>
      <c r="T133">
        <f>Table1[[#This Row],[Term to Maturity (Years)]]*Table1[[#This Row],[Coupon Frequency2]]</f>
        <v>5</v>
      </c>
      <c r="U133">
        <f>Table1[[#This Row],[Face value]]*Table1[[#This Row],[Current coupon %]]/Table1[[#This Row],[Coupon Frequency2]]</f>
        <v>102.5</v>
      </c>
      <c r="V133" s="23">
        <f>RATE(Table1[[#This Row],[Total No. of Coupons]],Table1[[#This Row],[Coupon Amount]],-Table1[[#This Row],[Ask Price]],Table1[[#This Row],[Face value]])</f>
        <v>0.10571189387247594</v>
      </c>
      <c r="W133" s="24">
        <f>Table1[[#This Row],[IRR]]*Table1[[#This Row],[Coupon Frequency2]]</f>
        <v>0.10571189387247594</v>
      </c>
      <c r="X133" s="25" cm="1">
        <f t="array" ref="X1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3" s="26">
        <f>DURATION(Table1[[#This Row],[Issue date]],Table1[[#This Row],[Maturity date]],Table1[[#This Row],[Current coupon %]],Table1[[#This Row],[Yield (Annualised)]],Table1[[#This Row],[Coupon Frequency2]])</f>
        <v>4.1472331667144395</v>
      </c>
      <c r="Z133" s="26">
        <f>Table1[[#This Row],[Macaulay Duration in Years]]/(1+Table1[[#This Row],[IRR]])</f>
        <v>3.7507357836134019</v>
      </c>
      <c r="AA133" s="27">
        <f>VLOOKUP(Table1[[#This Row],[Yield Cluster]],'[1]Cluster Details'!$B$3:$C$16,2,0)</f>
        <v>0.11069942689191503</v>
      </c>
      <c r="AB133" s="28">
        <f>PRICE(Table1[[#This Row],[Issue date]],Table1[[#This Row],[Maturity date]],Table1[[#This Row],[Current coupon %]],Table1[[#This Row],[Average Cluster Yield]],100,Table1[[#This Row],[Coupon Frequency2]])*Table1[[#This Row],[Face value]]/100</f>
        <v>969.74900568216583</v>
      </c>
      <c r="AC133" s="27" t="str">
        <f>IF(Table1[[#This Row],[Ask Price]]&gt;Table1[[#This Row],[Calculated Bond Price]],"Rich","Cheap")</f>
        <v>Rich</v>
      </c>
      <c r="AD133" s="28">
        <f>PRICE(Table1[[#This Row],[Issue date]],Table1[[#This Row],[Maturity date]],Table1[[#This Row],[Current coupon %]],Table1[[#This Row],[Yield (Annualised)]]+$AE$2,100,Table1[[#This Row],[Coupon Frequency2]])*Table1[[#This Row],[Face value]]/100</f>
        <v>951.8637743440928</v>
      </c>
      <c r="AE133" s="28">
        <f>PRICE(Table1[[#This Row],[Issue date]],Table1[[#This Row],[Maturity date]],Table1[[#This Row],[Current coupon %]],Table1[[#This Row],[Yield (Annualised)]]-$AE$2,100,Table1[[#This Row],[Coupon Frequency2]])*Table1[[#This Row],[Face value]]/100</f>
        <v>1026.0166498876151</v>
      </c>
      <c r="AF133" s="28">
        <f>(Table1[[#This Row],[P (+ shock)]]+Table1[[#This Row],[P (-shock)]]-2*Table1[[#This Row],[Ask Price]])/(2*Table1[[#This Row],[Ask Price]]*($AE$2^2))</f>
        <v>9.5163169620841117</v>
      </c>
    </row>
    <row r="134" spans="1:32" x14ac:dyDescent="0.25">
      <c r="A134" s="21" t="s">
        <v>351</v>
      </c>
      <c r="B134" s="3" t="s">
        <v>352</v>
      </c>
      <c r="C134" s="3" t="s">
        <v>19</v>
      </c>
      <c r="D134" s="4">
        <v>43875</v>
      </c>
      <c r="E134" s="4">
        <v>47527</v>
      </c>
      <c r="F134" s="3">
        <v>1000000</v>
      </c>
      <c r="G134" s="3" t="s">
        <v>20</v>
      </c>
      <c r="H134" s="3">
        <v>1103763.25</v>
      </c>
      <c r="I134" s="3" t="s">
        <v>20</v>
      </c>
      <c r="J134" s="3">
        <v>110.37632499999999</v>
      </c>
      <c r="K134" s="3">
        <v>2</v>
      </c>
      <c r="L134" s="5">
        <v>0.11449999999999999</v>
      </c>
      <c r="M134" s="3" t="s">
        <v>44</v>
      </c>
      <c r="N134" s="3">
        <v>1610</v>
      </c>
      <c r="O134" s="6">
        <f>Table1[[#This Row],[Current coupon %]]*Table1[[#This Row],[Face value]]/Table1[[#This Row],[Ask Price]]</f>
        <v>0.10373601404105454</v>
      </c>
      <c r="P134" s="3"/>
      <c r="Q134" s="3" t="s">
        <v>22</v>
      </c>
      <c r="R134">
        <f t="shared" si="2"/>
        <v>10</v>
      </c>
      <c r="S134" s="22" cm="1">
        <f t="array" ref="S134">_xlfn.IFS(Table1[[#This Row],[Coupon frequency]]="Semi-annual",2,Table1[[#This Row],[Coupon frequency]]="Quarterly",4,Table1[[#This Row],[Coupon frequency]]="Annual",1,Table1[[#This Row],[Coupon frequency]]="Every 4 months",3,Table1[[#This Row],[Coupon frequency]]="Monthly",12)</f>
        <v>4</v>
      </c>
      <c r="T134">
        <f>Table1[[#This Row],[Term to Maturity (Years)]]*Table1[[#This Row],[Coupon Frequency2]]</f>
        <v>40</v>
      </c>
      <c r="U134">
        <f>Table1[[#This Row],[Face value]]*Table1[[#This Row],[Current coupon %]]/Table1[[#This Row],[Coupon Frequency2]]</f>
        <v>28624.999999999996</v>
      </c>
      <c r="V134" s="23">
        <f>RATE(Table1[[#This Row],[Total No. of Coupons]],Table1[[#This Row],[Coupon Amount]],-Table1[[#This Row],[Ask Price]],Table1[[#This Row],[Face value]])</f>
        <v>2.4524495739135579E-2</v>
      </c>
      <c r="W134" s="24">
        <f>Table1[[#This Row],[IRR]]*Table1[[#This Row],[Coupon Frequency2]]</f>
        <v>9.8097982956542318E-2</v>
      </c>
      <c r="X134" s="25" cm="1">
        <f t="array" ref="X1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34" s="26">
        <f>DURATION(Table1[[#This Row],[Issue date]],Table1[[#This Row],[Maturity date]],Table1[[#This Row],[Current coupon %]],Table1[[#This Row],[Yield (Annualised)]],Table1[[#This Row],[Coupon Frequency2]])</f>
        <v>6.2763933845990092</v>
      </c>
      <c r="Z134" s="26">
        <f>Table1[[#This Row],[Macaulay Duration in Years]]/(1+Table1[[#This Row],[IRR]])</f>
        <v>6.1261525817115308</v>
      </c>
      <c r="AA134" s="27">
        <f>VLOOKUP(Table1[[#This Row],[Yield Cluster]],'[1]Cluster Details'!$B$3:$C$16,2,0)</f>
        <v>7.8548801574189142E-2</v>
      </c>
      <c r="AB134" s="28">
        <f>PRICE(Table1[[#This Row],[Issue date]],Table1[[#This Row],[Maturity date]],Table1[[#This Row],[Current coupon %]],Table1[[#This Row],[Average Cluster Yield]],100,Table1[[#This Row],[Coupon Frequency2]])*Table1[[#This Row],[Face value]]/100</f>
        <v>1247388.7375372394</v>
      </c>
      <c r="AC134" s="27" t="str">
        <f>IF(Table1[[#This Row],[Ask Price]]&gt;Table1[[#This Row],[Calculated Bond Price]],"Rich","Cheap")</f>
        <v>Cheap</v>
      </c>
      <c r="AD134" s="28">
        <f>PRICE(Table1[[#This Row],[Issue date]],Table1[[#This Row],[Maturity date]],Table1[[#This Row],[Current coupon %]],Table1[[#This Row],[Yield (Annualised)]]+$AE$2,100,Table1[[#This Row],[Coupon Frequency2]])*Table1[[#This Row],[Face value]]/100</f>
        <v>1038831.0339275259</v>
      </c>
      <c r="AE134" s="28">
        <f>PRICE(Table1[[#This Row],[Issue date]],Table1[[#This Row],[Maturity date]],Table1[[#This Row],[Current coupon %]],Table1[[#This Row],[Yield (Annualised)]]-$AE$2,100,Table1[[#This Row],[Coupon Frequency2]])*Table1[[#This Row],[Face value]]/100</f>
        <v>1174278.1597861217</v>
      </c>
      <c r="AF134" s="28">
        <f>(Table1[[#This Row],[P (+ shock)]]+Table1[[#This Row],[P (-shock)]]-2*Table1[[#This Row],[Ask Price]])/(2*Table1[[#This Row],[Ask Price]]*($AE$2^2))</f>
        <v>25.289362160079676</v>
      </c>
    </row>
    <row r="135" spans="1:32" x14ac:dyDescent="0.25">
      <c r="A135" s="21" t="s">
        <v>353</v>
      </c>
      <c r="B135" s="3" t="s">
        <v>354</v>
      </c>
      <c r="C135" s="3" t="s">
        <v>19</v>
      </c>
      <c r="D135" s="4">
        <v>45870</v>
      </c>
      <c r="E135" s="4">
        <v>47696</v>
      </c>
      <c r="F135" s="3">
        <v>1000</v>
      </c>
      <c r="G135" s="3" t="s">
        <v>20</v>
      </c>
      <c r="H135" s="3">
        <v>930.3</v>
      </c>
      <c r="I135" s="3" t="s">
        <v>20</v>
      </c>
      <c r="J135" s="3">
        <v>93.029999999999902</v>
      </c>
      <c r="K135" s="3">
        <v>20</v>
      </c>
      <c r="L135" s="5">
        <v>9.6500000000000002E-2</v>
      </c>
      <c r="M135" s="3" t="s">
        <v>21</v>
      </c>
      <c r="N135" s="3">
        <v>1779</v>
      </c>
      <c r="O135" s="6">
        <f>Table1[[#This Row],[Current coupon %]]*Table1[[#This Row],[Face value]]/Table1[[#This Row],[Ask Price]]</f>
        <v>0.10372997957648071</v>
      </c>
      <c r="P135" s="3" t="s">
        <v>25</v>
      </c>
      <c r="Q135" s="3" t="s">
        <v>22</v>
      </c>
      <c r="R135">
        <f t="shared" si="2"/>
        <v>5</v>
      </c>
      <c r="S135" s="22" cm="1">
        <f t="array" ref="S135">_xlfn.IFS(Table1[[#This Row],[Coupon frequency]]="Semi-annual",2,Table1[[#This Row],[Coupon frequency]]="Quarterly",4,Table1[[#This Row],[Coupon frequency]]="Annual",1,Table1[[#This Row],[Coupon frequency]]="Every 4 months",3,Table1[[#This Row],[Coupon frequency]]="Monthly",12)</f>
        <v>1</v>
      </c>
      <c r="T135">
        <f>Table1[[#This Row],[Term to Maturity (Years)]]*Table1[[#This Row],[Coupon Frequency2]]</f>
        <v>5</v>
      </c>
      <c r="U135">
        <f>Table1[[#This Row],[Face value]]*Table1[[#This Row],[Current coupon %]]/Table1[[#This Row],[Coupon Frequency2]]</f>
        <v>96.5</v>
      </c>
      <c r="V135" s="23">
        <f>RATE(Table1[[#This Row],[Total No. of Coupons]],Table1[[#This Row],[Coupon Amount]],-Table1[[#This Row],[Ask Price]],Table1[[#This Row],[Face value]])</f>
        <v>0.11562639970550319</v>
      </c>
      <c r="W135" s="24">
        <f>Table1[[#This Row],[IRR]]*Table1[[#This Row],[Coupon Frequency2]]</f>
        <v>0.11562639970550319</v>
      </c>
      <c r="X135" s="25" cm="1">
        <f t="array" ref="X1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5" s="26">
        <f>DURATION(Table1[[#This Row],[Issue date]],Table1[[#This Row],[Maturity date]],Table1[[#This Row],[Current coupon %]],Table1[[#This Row],[Yield (Annualised)]],Table1[[#This Row],[Coupon Frequency2]])</f>
        <v>4.1616843147651581</v>
      </c>
      <c r="Z135" s="26">
        <f>Table1[[#This Row],[Macaulay Duration in Years]]/(1+Table1[[#This Row],[IRR]])</f>
        <v>3.7303566102986951</v>
      </c>
      <c r="AA135" s="27">
        <f>VLOOKUP(Table1[[#This Row],[Yield Cluster]],'[1]Cluster Details'!$B$3:$C$16,2,0)</f>
        <v>0.11069942689191503</v>
      </c>
      <c r="AB135" s="28">
        <f>PRICE(Table1[[#This Row],[Issue date]],Table1[[#This Row],[Maturity date]],Table1[[#This Row],[Current coupon %]],Table1[[#This Row],[Average Cluster Yield]],100,Table1[[#This Row],[Coupon Frequency2]])*Table1[[#This Row],[Face value]]/100</f>
        <v>947.6125846493768</v>
      </c>
      <c r="AC135" s="27" t="str">
        <f>IF(Table1[[#This Row],[Ask Price]]&gt;Table1[[#This Row],[Calculated Bond Price]],"Rich","Cheap")</f>
        <v>Cheap</v>
      </c>
      <c r="AD135" s="28">
        <f>PRICE(Table1[[#This Row],[Issue date]],Table1[[#This Row],[Maturity date]],Table1[[#This Row],[Current coupon %]],Table1[[#This Row],[Yield (Annualised)]]+$AE$2,100,Table1[[#This Row],[Coupon Frequency2]])*Table1[[#This Row],[Face value]]/100</f>
        <v>896.45297444565108</v>
      </c>
      <c r="AE135" s="28">
        <f>PRICE(Table1[[#This Row],[Issue date]],Table1[[#This Row],[Maturity date]],Table1[[#This Row],[Current coupon %]],Table1[[#This Row],[Yield (Annualised)]]-$AE$2,100,Table1[[#This Row],[Coupon Frequency2]])*Table1[[#This Row],[Face value]]/100</f>
        <v>965.89535204051674</v>
      </c>
      <c r="AF135" s="28">
        <f>(Table1[[#This Row],[P (+ shock)]]+Table1[[#This Row],[P (-shock)]]-2*Table1[[#This Row],[Ask Price]])/(2*Table1[[#This Row],[Ask Price]]*($AE$2^2))</f>
        <v>9.3965736115662981</v>
      </c>
    </row>
    <row r="136" spans="1:32" x14ac:dyDescent="0.25">
      <c r="A136" s="21" t="s">
        <v>355</v>
      </c>
      <c r="B136" s="3" t="s">
        <v>356</v>
      </c>
      <c r="C136" s="3" t="s">
        <v>19</v>
      </c>
      <c r="D136" s="4">
        <v>45496</v>
      </c>
      <c r="E136" s="4">
        <v>47322</v>
      </c>
      <c r="F136" s="3">
        <v>100000</v>
      </c>
      <c r="G136" s="3" t="s">
        <v>20</v>
      </c>
      <c r="H136" s="3">
        <v>94200</v>
      </c>
      <c r="I136" s="3" t="s">
        <v>20</v>
      </c>
      <c r="J136" s="3">
        <v>94.199999999999903</v>
      </c>
      <c r="K136" s="3">
        <v>1</v>
      </c>
      <c r="L136" s="5">
        <v>9.7500000000000003E-2</v>
      </c>
      <c r="M136" s="3" t="s">
        <v>21</v>
      </c>
      <c r="N136" s="3">
        <v>1405</v>
      </c>
      <c r="O136" s="6">
        <f>Table1[[#This Row],[Current coupon %]]*Table1[[#This Row],[Face value]]/Table1[[#This Row],[Ask Price]]</f>
        <v>0.1035031847133758</v>
      </c>
      <c r="P136" s="3" t="s">
        <v>25</v>
      </c>
      <c r="Q136" s="3" t="s">
        <v>22</v>
      </c>
      <c r="R136">
        <f t="shared" si="2"/>
        <v>5</v>
      </c>
      <c r="S136" s="22" cm="1">
        <f t="array" ref="S136">_xlfn.IFS(Table1[[#This Row],[Coupon frequency]]="Semi-annual",2,Table1[[#This Row],[Coupon frequency]]="Quarterly",4,Table1[[#This Row],[Coupon frequency]]="Annual",1,Table1[[#This Row],[Coupon frequency]]="Every 4 months",3,Table1[[#This Row],[Coupon frequency]]="Monthly",12)</f>
        <v>1</v>
      </c>
      <c r="T136">
        <f>Table1[[#This Row],[Term to Maturity (Years)]]*Table1[[#This Row],[Coupon Frequency2]]</f>
        <v>5</v>
      </c>
      <c r="U136">
        <f>Table1[[#This Row],[Face value]]*Table1[[#This Row],[Current coupon %]]/Table1[[#This Row],[Coupon Frequency2]]</f>
        <v>9750</v>
      </c>
      <c r="V136" s="23">
        <f>RATE(Table1[[#This Row],[Total No. of Coupons]],Table1[[#This Row],[Coupon Amount]],-Table1[[#This Row],[Ask Price]],Table1[[#This Row],[Face value]])</f>
        <v>0.11332453253001575</v>
      </c>
      <c r="W136" s="24">
        <f>Table1[[#This Row],[IRR]]*Table1[[#This Row],[Coupon Frequency2]]</f>
        <v>0.11332453253001575</v>
      </c>
      <c r="X136" s="25" cm="1">
        <f t="array" ref="X1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6" s="26">
        <f>DURATION(Table1[[#This Row],[Issue date]],Table1[[#This Row],[Maturity date]],Table1[[#This Row],[Current coupon %]],Table1[[#This Row],[Yield (Annualised)]],Table1[[#This Row],[Coupon Frequency2]])</f>
        <v>4.160236300021424</v>
      </c>
      <c r="Z136" s="26">
        <f>Table1[[#This Row],[Macaulay Duration in Years]]/(1+Table1[[#This Row],[IRR]])</f>
        <v>3.7367687304683206</v>
      </c>
      <c r="AA136" s="27">
        <f>VLOOKUP(Table1[[#This Row],[Yield Cluster]],'[1]Cluster Details'!$B$3:$C$16,2,0)</f>
        <v>0.11069942689191503</v>
      </c>
      <c r="AB136" s="28">
        <f>PRICE(Table1[[#This Row],[Issue date]],Table1[[#This Row],[Maturity date]],Table1[[#This Row],[Current coupon %]],Table1[[#This Row],[Average Cluster Yield]],100,Table1[[#This Row],[Coupon Frequency2]])*Table1[[#This Row],[Face value]]/100</f>
        <v>95130.198815484153</v>
      </c>
      <c r="AC136" s="27" t="str">
        <f>IF(Table1[[#This Row],[Ask Price]]&gt;Table1[[#This Row],[Calculated Bond Price]],"Rich","Cheap")</f>
        <v>Cheap</v>
      </c>
      <c r="AD136" s="28">
        <f>PRICE(Table1[[#This Row],[Issue date]],Table1[[#This Row],[Maturity date]],Table1[[#This Row],[Current coupon %]],Table1[[#This Row],[Yield (Annualised)]]+$AE$2,100,Table1[[#This Row],[Coupon Frequency2]])*Table1[[#This Row],[Face value]]/100</f>
        <v>90766.996268164236</v>
      </c>
      <c r="AE136" s="28">
        <f>PRICE(Table1[[#This Row],[Issue date]],Table1[[#This Row],[Maturity date]],Table1[[#This Row],[Current coupon %]],Table1[[#This Row],[Yield (Annualised)]]-$AE$2,100,Table1[[#This Row],[Coupon Frequency2]])*Table1[[#This Row],[Face value]]/100</f>
        <v>97810.669048435768</v>
      </c>
      <c r="AF136" s="28">
        <f>(Table1[[#This Row],[P (+ shock)]]+Table1[[#This Row],[P (-shock)]]-2*Table1[[#This Row],[Ask Price]])/(2*Table1[[#This Row],[Ask Price]]*($AE$2^2))</f>
        <v>9.4302185031848875</v>
      </c>
    </row>
    <row r="137" spans="1:32" x14ac:dyDescent="0.25">
      <c r="A137" s="21" t="s">
        <v>357</v>
      </c>
      <c r="B137" s="3" t="s">
        <v>358</v>
      </c>
      <c r="C137" s="3" t="s">
        <v>19</v>
      </c>
      <c r="D137" s="4">
        <v>45750</v>
      </c>
      <c r="E137" s="4">
        <v>47576</v>
      </c>
      <c r="F137" s="3">
        <v>1000</v>
      </c>
      <c r="G137" s="3" t="s">
        <v>20</v>
      </c>
      <c r="H137" s="3">
        <v>1015</v>
      </c>
      <c r="I137" s="3" t="s">
        <v>20</v>
      </c>
      <c r="J137" s="3">
        <v>101.49999999999901</v>
      </c>
      <c r="K137" s="3">
        <v>120</v>
      </c>
      <c r="L137" s="5">
        <v>0.105</v>
      </c>
      <c r="M137" s="3" t="s">
        <v>21</v>
      </c>
      <c r="N137" s="3">
        <v>1659</v>
      </c>
      <c r="O137" s="6">
        <f>Table1[[#This Row],[Current coupon %]]*Table1[[#This Row],[Face value]]/Table1[[#This Row],[Ask Price]]</f>
        <v>0.10344827586206896</v>
      </c>
      <c r="P137" s="3"/>
      <c r="Q137" s="3" t="s">
        <v>22</v>
      </c>
      <c r="R137">
        <f t="shared" si="2"/>
        <v>5</v>
      </c>
      <c r="S137" s="22" cm="1">
        <f t="array" ref="S137">_xlfn.IFS(Table1[[#This Row],[Coupon frequency]]="Semi-annual",2,Table1[[#This Row],[Coupon frequency]]="Quarterly",4,Table1[[#This Row],[Coupon frequency]]="Annual",1,Table1[[#This Row],[Coupon frequency]]="Every 4 months",3,Table1[[#This Row],[Coupon frequency]]="Monthly",12)</f>
        <v>1</v>
      </c>
      <c r="T137">
        <f>Table1[[#This Row],[Term to Maturity (Years)]]*Table1[[#This Row],[Coupon Frequency2]]</f>
        <v>5</v>
      </c>
      <c r="U137">
        <f>Table1[[#This Row],[Face value]]*Table1[[#This Row],[Current coupon %]]/Table1[[#This Row],[Coupon Frequency2]]</f>
        <v>105</v>
      </c>
      <c r="V137" s="23">
        <f>RATE(Table1[[#This Row],[Total No. of Coupons]],Table1[[#This Row],[Coupon Amount]],-Table1[[#This Row],[Ask Price]],Table1[[#This Row],[Face value]])</f>
        <v>0.10103259419142203</v>
      </c>
      <c r="W137" s="24">
        <f>Table1[[#This Row],[IRR]]*Table1[[#This Row],[Coupon Frequency2]]</f>
        <v>0.10103259419142203</v>
      </c>
      <c r="X137" s="25" cm="1">
        <f t="array" ref="X1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7" s="26">
        <f>DURATION(Table1[[#This Row],[Issue date]],Table1[[#This Row],[Maturity date]],Table1[[#This Row],[Current coupon %]],Table1[[#This Row],[Yield (Annualised)]],Table1[[#This Row],[Coupon Frequency2]])</f>
        <v>4.1427753886829626</v>
      </c>
      <c r="Z137" s="26">
        <f>Table1[[#This Row],[Macaulay Duration in Years]]/(1+Table1[[#This Row],[IRR]])</f>
        <v>3.7626273831841828</v>
      </c>
      <c r="AA137" s="27">
        <f>VLOOKUP(Table1[[#This Row],[Yield Cluster]],'[1]Cluster Details'!$B$3:$C$16,2,0)</f>
        <v>0.11069942689191503</v>
      </c>
      <c r="AB137" s="28">
        <f>PRICE(Table1[[#This Row],[Issue date]],Table1[[#This Row],[Maturity date]],Table1[[#This Row],[Current coupon %]],Table1[[#This Row],[Average Cluster Yield]],100,Table1[[#This Row],[Coupon Frequency2]])*Table1[[#This Row],[Face value]]/100</f>
        <v>978.97251444582798</v>
      </c>
      <c r="AC137" s="27" t="str">
        <f>IF(Table1[[#This Row],[Ask Price]]&gt;Table1[[#This Row],[Calculated Bond Price]],"Rich","Cheap")</f>
        <v>Rich</v>
      </c>
      <c r="AD137" s="28">
        <f>PRICE(Table1[[#This Row],[Issue date]],Table1[[#This Row],[Maturity date]],Table1[[#This Row],[Current coupon %]],Table1[[#This Row],[Yield (Annualised)]]+$AE$2,100,Table1[[#This Row],[Coupon Frequency2]])*Table1[[#This Row],[Face value]]/100</f>
        <v>977.76194652724075</v>
      </c>
      <c r="AE137" s="28">
        <f>PRICE(Table1[[#This Row],[Issue date]],Table1[[#This Row],[Maturity date]],Table1[[#This Row],[Current coupon %]],Table1[[#This Row],[Yield (Annualised)]]-$AE$2,100,Table1[[#This Row],[Coupon Frequency2]])*Table1[[#This Row],[Face value]]/100</f>
        <v>1054.1830902439249</v>
      </c>
      <c r="AF137" s="28">
        <f>(Table1[[#This Row],[P (+ shock)]]+Table1[[#This Row],[P (-shock)]]-2*Table1[[#This Row],[Ask Price]])/(2*Table1[[#This Row],[Ask Price]]*($AE$2^2))</f>
        <v>9.5814619269242982</v>
      </c>
    </row>
    <row r="138" spans="1:32" x14ac:dyDescent="0.25">
      <c r="A138" s="21" t="s">
        <v>359</v>
      </c>
      <c r="B138" s="3" t="s">
        <v>360</v>
      </c>
      <c r="C138" s="3" t="s">
        <v>19</v>
      </c>
      <c r="D138" s="4">
        <v>45464</v>
      </c>
      <c r="E138" s="4">
        <v>46194</v>
      </c>
      <c r="F138" s="3">
        <v>1000</v>
      </c>
      <c r="G138" s="3" t="s">
        <v>20</v>
      </c>
      <c r="H138" s="3">
        <v>979.8</v>
      </c>
      <c r="I138" s="3" t="s">
        <v>20</v>
      </c>
      <c r="J138" s="3">
        <v>97.98</v>
      </c>
      <c r="K138" s="3">
        <v>100</v>
      </c>
      <c r="L138" s="5">
        <v>9.6000000000000002E-2</v>
      </c>
      <c r="M138" s="3" t="s">
        <v>21</v>
      </c>
      <c r="N138" s="3">
        <v>277</v>
      </c>
      <c r="O138" s="6">
        <f>Table1[[#This Row],[Current coupon %]]*Table1[[#This Row],[Face value]]/Table1[[#This Row],[Ask Price]]</f>
        <v>9.7979179424372329E-2</v>
      </c>
      <c r="P138" s="3"/>
      <c r="Q138" s="3" t="s">
        <v>22</v>
      </c>
      <c r="R138">
        <f t="shared" si="2"/>
        <v>2</v>
      </c>
      <c r="S138" s="22" cm="1">
        <f t="array" ref="S138">_xlfn.IFS(Table1[[#This Row],[Coupon frequency]]="Semi-annual",2,Table1[[#This Row],[Coupon frequency]]="Quarterly",4,Table1[[#This Row],[Coupon frequency]]="Annual",1,Table1[[#This Row],[Coupon frequency]]="Every 4 months",3,Table1[[#This Row],[Coupon frequency]]="Monthly",12)</f>
        <v>1</v>
      </c>
      <c r="T138">
        <f>Table1[[#This Row],[Term to Maturity (Years)]]*Table1[[#This Row],[Coupon Frequency2]]</f>
        <v>2</v>
      </c>
      <c r="U138">
        <f>Table1[[#This Row],[Face value]]*Table1[[#This Row],[Current coupon %]]/Table1[[#This Row],[Coupon Frequency2]]</f>
        <v>96</v>
      </c>
      <c r="V138" s="23">
        <f>RATE(Table1[[#This Row],[Total No. of Coupons]],Table1[[#This Row],[Coupon Amount]],-Table1[[#This Row],[Ask Price]],Table1[[#This Row],[Face value]])</f>
        <v>0.10776039194548935</v>
      </c>
      <c r="W138" s="24">
        <f>Table1[[#This Row],[IRR]]*Table1[[#This Row],[Coupon Frequency2]]</f>
        <v>0.10776039194548935</v>
      </c>
      <c r="X138" s="25" cm="1">
        <f t="array" ref="X1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8" s="26">
        <f>DURATION(Table1[[#This Row],[Issue date]],Table1[[#This Row],[Maturity date]],Table1[[#This Row],[Current coupon %]],Table1[[#This Row],[Yield (Annualised)]],Table1[[#This Row],[Coupon Frequency2]])</f>
        <v>1.911552010582092</v>
      </c>
      <c r="Z138" s="26">
        <f>Table1[[#This Row],[Macaulay Duration in Years]]/(1+Table1[[#This Row],[IRR]])</f>
        <v>1.7256006122632301</v>
      </c>
      <c r="AA138" s="27">
        <f>VLOOKUP(Table1[[#This Row],[Yield Cluster]],'[1]Cluster Details'!$B$3:$C$16,2,0)</f>
        <v>0.11069942689191503</v>
      </c>
      <c r="AB138" s="28">
        <f>PRICE(Table1[[#This Row],[Issue date]],Table1[[#This Row],[Maturity date]],Table1[[#This Row],[Current coupon %]],Table1[[#This Row],[Average Cluster Yield]],100,Table1[[#This Row],[Coupon Frequency2]])*Table1[[#This Row],[Face value]]/100</f>
        <v>974.85024843981807</v>
      </c>
      <c r="AC138" s="27" t="str">
        <f>IF(Table1[[#This Row],[Ask Price]]&gt;Table1[[#This Row],[Calculated Bond Price]],"Rich","Cheap")</f>
        <v>Rich</v>
      </c>
      <c r="AD138" s="28">
        <f>PRICE(Table1[[#This Row],[Issue date]],Table1[[#This Row],[Maturity date]],Table1[[#This Row],[Current coupon %]],Table1[[#This Row],[Yield (Annualised)]]+$AE$2,100,Table1[[#This Row],[Coupon Frequency2]])*Table1[[#This Row],[Face value]]/100</f>
        <v>963.11531298638454</v>
      </c>
      <c r="AE138" s="28">
        <f>PRICE(Table1[[#This Row],[Issue date]],Table1[[#This Row],[Maturity date]],Table1[[#This Row],[Current coupon %]],Table1[[#This Row],[Yield (Annualised)]]-$AE$2,100,Table1[[#This Row],[Coupon Frequency2]])*Table1[[#This Row],[Face value]]/100</f>
        <v>996.93556693340395</v>
      </c>
      <c r="AF138" s="28">
        <f>(Table1[[#This Row],[P (+ shock)]]+Table1[[#This Row],[P (-shock)]]-2*Table1[[#This Row],[Ask Price]])/(2*Table1[[#This Row],[Ask Price]]*($AE$2^2))</f>
        <v>2.3008773208235174</v>
      </c>
    </row>
    <row r="139" spans="1:32" x14ac:dyDescent="0.25">
      <c r="A139" s="21" t="s">
        <v>361</v>
      </c>
      <c r="B139" s="3" t="s">
        <v>362</v>
      </c>
      <c r="C139" s="3" t="s">
        <v>19</v>
      </c>
      <c r="D139" s="4">
        <v>45463</v>
      </c>
      <c r="E139" s="4">
        <v>46101</v>
      </c>
      <c r="F139" s="3">
        <v>100000</v>
      </c>
      <c r="G139" s="3" t="s">
        <v>20</v>
      </c>
      <c r="H139" s="3">
        <v>99475.24</v>
      </c>
      <c r="I139" s="3" t="s">
        <v>20</v>
      </c>
      <c r="J139" s="3">
        <v>99.475239999999999</v>
      </c>
      <c r="K139" s="3">
        <v>2</v>
      </c>
      <c r="L139" s="5">
        <v>0.10249999999999999</v>
      </c>
      <c r="M139" s="3" t="s">
        <v>44</v>
      </c>
      <c r="N139" s="3">
        <v>184</v>
      </c>
      <c r="O139" s="6">
        <f>Table1[[#This Row],[Current coupon %]]*Table1[[#This Row],[Face value]]/Table1[[#This Row],[Ask Price]]</f>
        <v>0.10304071646371499</v>
      </c>
      <c r="P139" s="3"/>
      <c r="Q139" s="3" t="s">
        <v>22</v>
      </c>
      <c r="R139">
        <f t="shared" si="2"/>
        <v>2</v>
      </c>
      <c r="S139" s="22" cm="1">
        <f t="array" ref="S139">_xlfn.IFS(Table1[[#This Row],[Coupon frequency]]="Semi-annual",2,Table1[[#This Row],[Coupon frequency]]="Quarterly",4,Table1[[#This Row],[Coupon frequency]]="Annual",1,Table1[[#This Row],[Coupon frequency]]="Every 4 months",3,Table1[[#This Row],[Coupon frequency]]="Monthly",12)</f>
        <v>4</v>
      </c>
      <c r="T139">
        <f>Table1[[#This Row],[Term to Maturity (Years)]]*Table1[[#This Row],[Coupon Frequency2]]</f>
        <v>8</v>
      </c>
      <c r="U139">
        <f>Table1[[#This Row],[Face value]]*Table1[[#This Row],[Current coupon %]]/Table1[[#This Row],[Coupon Frequency2]]</f>
        <v>2562.5</v>
      </c>
      <c r="V139" s="23">
        <f>RATE(Table1[[#This Row],[Total No. of Coupons]],Table1[[#This Row],[Coupon Amount]],-Table1[[#This Row],[Ask Price]],Table1[[#This Row],[Face value]])</f>
        <v>2.6361122456413859E-2</v>
      </c>
      <c r="W139" s="24">
        <f>Table1[[#This Row],[IRR]]*Table1[[#This Row],[Coupon Frequency2]]</f>
        <v>0.10544448982565544</v>
      </c>
      <c r="X139" s="25" cm="1">
        <f t="array" ref="X1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39" s="26">
        <f>DURATION(Table1[[#This Row],[Issue date]],Table1[[#This Row],[Maturity date]],Table1[[#This Row],[Current coupon %]],Table1[[#This Row],[Yield (Annualised)]],Table1[[#This Row],[Coupon Frequency2]])</f>
        <v>1.623806310052019</v>
      </c>
      <c r="Z139" s="26">
        <f>Table1[[#This Row],[Macaulay Duration in Years]]/(1+Table1[[#This Row],[IRR]])</f>
        <v>1.5821003684996622</v>
      </c>
      <c r="AA139" s="27">
        <f>VLOOKUP(Table1[[#This Row],[Yield Cluster]],'[1]Cluster Details'!$B$3:$C$16,2,0)</f>
        <v>0.11069942689191503</v>
      </c>
      <c r="AB139" s="28">
        <f>PRICE(Table1[[#This Row],[Issue date]],Table1[[#This Row],[Maturity date]],Table1[[#This Row],[Current coupon %]],Table1[[#This Row],[Average Cluster Yield]],100,Table1[[#This Row],[Coupon Frequency2]])*Table1[[#This Row],[Face value]]/100</f>
        <v>98711.614832403517</v>
      </c>
      <c r="AC139" s="27" t="str">
        <f>IF(Table1[[#This Row],[Ask Price]]&gt;Table1[[#This Row],[Calculated Bond Price]],"Rich","Cheap")</f>
        <v>Rich</v>
      </c>
      <c r="AD139" s="28">
        <f>PRICE(Table1[[#This Row],[Issue date]],Table1[[#This Row],[Maturity date]],Table1[[#This Row],[Current coupon %]],Table1[[#This Row],[Yield (Annualised)]]+$AE$2,100,Table1[[#This Row],[Coupon Frequency2]])*Table1[[#This Row],[Face value]]/100</f>
        <v>97975.121898837999</v>
      </c>
      <c r="AE139" s="28">
        <f>PRICE(Table1[[#This Row],[Issue date]],Table1[[#This Row],[Maturity date]],Table1[[#This Row],[Current coupon %]],Table1[[#This Row],[Yield (Annualised)]]-$AE$2,100,Table1[[#This Row],[Coupon Frequency2]])*Table1[[#This Row],[Face value]]/100</f>
        <v>101124.82545428319</v>
      </c>
      <c r="AF139" s="28">
        <f>(Table1[[#This Row],[P (+ shock)]]+Table1[[#This Row],[P (-shock)]]-2*Table1[[#This Row],[Ask Price]])/(2*Table1[[#This Row],[Ask Price]]*($AE$2^2))</f>
        <v>7.5127917822150403</v>
      </c>
    </row>
    <row r="140" spans="1:32" x14ac:dyDescent="0.25">
      <c r="A140" s="21" t="s">
        <v>363</v>
      </c>
      <c r="B140" s="3" t="s">
        <v>364</v>
      </c>
      <c r="C140" s="3" t="s">
        <v>19</v>
      </c>
      <c r="D140" s="4">
        <v>44463</v>
      </c>
      <c r="E140" s="4">
        <v>47109</v>
      </c>
      <c r="F140" s="3">
        <v>1000</v>
      </c>
      <c r="G140" s="3" t="s">
        <v>20</v>
      </c>
      <c r="H140" s="3">
        <v>947</v>
      </c>
      <c r="I140" s="3" t="s">
        <v>20</v>
      </c>
      <c r="J140" s="3">
        <v>94.699999999999903</v>
      </c>
      <c r="K140" s="3">
        <v>20</v>
      </c>
      <c r="L140" s="5">
        <v>9.7500000000000003E-2</v>
      </c>
      <c r="M140" s="3" t="s">
        <v>21</v>
      </c>
      <c r="N140" s="3">
        <v>1192</v>
      </c>
      <c r="O140" s="6">
        <f>Table1[[#This Row],[Current coupon %]]*Table1[[#This Row],[Face value]]/Table1[[#This Row],[Ask Price]]</f>
        <v>0.10295670538542767</v>
      </c>
      <c r="P140" s="3" t="s">
        <v>25</v>
      </c>
      <c r="Q140" s="3" t="s">
        <v>22</v>
      </c>
      <c r="R140">
        <f t="shared" si="2"/>
        <v>7</v>
      </c>
      <c r="S140" s="22" cm="1">
        <f t="array" ref="S140">_xlfn.IFS(Table1[[#This Row],[Coupon frequency]]="Semi-annual",2,Table1[[#This Row],[Coupon frequency]]="Quarterly",4,Table1[[#This Row],[Coupon frequency]]="Annual",1,Table1[[#This Row],[Coupon frequency]]="Every 4 months",3,Table1[[#This Row],[Coupon frequency]]="Monthly",12)</f>
        <v>1</v>
      </c>
      <c r="T140">
        <f>Table1[[#This Row],[Term to Maturity (Years)]]*Table1[[#This Row],[Coupon Frequency2]]</f>
        <v>7</v>
      </c>
      <c r="U140">
        <f>Table1[[#This Row],[Face value]]*Table1[[#This Row],[Current coupon %]]/Table1[[#This Row],[Coupon Frequency2]]</f>
        <v>97.5</v>
      </c>
      <c r="V140" s="23">
        <f>RATE(Table1[[#This Row],[Total No. of Coupons]],Table1[[#This Row],[Coupon Amount]],-Table1[[#This Row],[Ask Price]],Table1[[#This Row],[Face value]])</f>
        <v>0.10870021767440241</v>
      </c>
      <c r="W140" s="24">
        <f>Table1[[#This Row],[IRR]]*Table1[[#This Row],[Coupon Frequency2]]</f>
        <v>0.10870021767440241</v>
      </c>
      <c r="X140" s="25" cm="1">
        <f t="array" ref="X1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0" s="26">
        <f>DURATION(Table1[[#This Row],[Issue date]],Table1[[#This Row],[Maturity date]],Table1[[#This Row],[Current coupon %]],Table1[[#This Row],[Yield (Annualised)]],Table1[[#This Row],[Coupon Frequency2]])</f>
        <v>5.0851433944839695</v>
      </c>
      <c r="Z140" s="26">
        <f>Table1[[#This Row],[Macaulay Duration in Years]]/(1+Table1[[#This Row],[IRR]])</f>
        <v>4.5865810373434508</v>
      </c>
      <c r="AA140" s="27">
        <f>VLOOKUP(Table1[[#This Row],[Yield Cluster]],'[1]Cluster Details'!$B$3:$C$16,2,0)</f>
        <v>0.11069942689191503</v>
      </c>
      <c r="AB140" s="28">
        <f>PRICE(Table1[[#This Row],[Issue date]],Table1[[#This Row],[Maturity date]],Table1[[#This Row],[Current coupon %]],Table1[[#This Row],[Average Cluster Yield]],100,Table1[[#This Row],[Coupon Frequency2]])*Table1[[#This Row],[Face value]]/100</f>
        <v>935.53964952234458</v>
      </c>
      <c r="AC140" s="27" t="str">
        <f>IF(Table1[[#This Row],[Ask Price]]&gt;Table1[[#This Row],[Calculated Bond Price]],"Rich","Cheap")</f>
        <v>Rich</v>
      </c>
      <c r="AD140" s="28">
        <f>PRICE(Table1[[#This Row],[Issue date]],Table1[[#This Row],[Maturity date]],Table1[[#This Row],[Current coupon %]],Table1[[#This Row],[Yield (Annualised)]]+$AE$2,100,Table1[[#This Row],[Coupon Frequency2]])*Table1[[#This Row],[Face value]]/100</f>
        <v>899.62498961178392</v>
      </c>
      <c r="AE140" s="28">
        <f>PRICE(Table1[[#This Row],[Issue date]],Table1[[#This Row],[Maturity date]],Table1[[#This Row],[Current coupon %]],Table1[[#This Row],[Yield (Annualised)]]-$AE$2,100,Table1[[#This Row],[Coupon Frequency2]])*Table1[[#This Row],[Face value]]/100</f>
        <v>993.13445080276938</v>
      </c>
      <c r="AF140" s="28">
        <f>(Table1[[#This Row],[P (+ shock)]]+Table1[[#This Row],[P (-shock)]]-2*Table1[[#This Row],[Ask Price]])/(2*Table1[[#This Row],[Ask Price]]*($AE$2^2))</f>
        <v>-6.5499450129175818</v>
      </c>
    </row>
    <row r="141" spans="1:32" x14ac:dyDescent="0.25">
      <c r="A141" s="21" t="s">
        <v>365</v>
      </c>
      <c r="B141" s="3" t="s">
        <v>366</v>
      </c>
      <c r="C141" s="3" t="s">
        <v>19</v>
      </c>
      <c r="D141" s="4">
        <v>45320</v>
      </c>
      <c r="E141" s="4">
        <v>48973</v>
      </c>
      <c r="F141" s="3">
        <v>1000</v>
      </c>
      <c r="G141" s="3" t="s">
        <v>20</v>
      </c>
      <c r="H141" s="3">
        <v>1005.8</v>
      </c>
      <c r="I141" s="3" t="s">
        <v>20</v>
      </c>
      <c r="J141" s="3">
        <v>100.58</v>
      </c>
      <c r="K141" s="3">
        <v>25</v>
      </c>
      <c r="L141" s="5">
        <v>0.1045</v>
      </c>
      <c r="M141" s="3" t="s">
        <v>21</v>
      </c>
      <c r="N141" s="3">
        <v>3056</v>
      </c>
      <c r="O141" s="6">
        <f>Table1[[#This Row],[Current coupon %]]*Table1[[#This Row],[Face value]]/Table1[[#This Row],[Ask Price]]</f>
        <v>0.10389739510837145</v>
      </c>
      <c r="P141" s="3"/>
      <c r="Q141" s="3" t="s">
        <v>22</v>
      </c>
      <c r="R141">
        <f t="shared" si="2"/>
        <v>10</v>
      </c>
      <c r="S141" s="22" cm="1">
        <f t="array" ref="S141">_xlfn.IFS(Table1[[#This Row],[Coupon frequency]]="Semi-annual",2,Table1[[#This Row],[Coupon frequency]]="Quarterly",4,Table1[[#This Row],[Coupon frequency]]="Annual",1,Table1[[#This Row],[Coupon frequency]]="Every 4 months",3,Table1[[#This Row],[Coupon frequency]]="Monthly",12)</f>
        <v>1</v>
      </c>
      <c r="T141">
        <f>Table1[[#This Row],[Term to Maturity (Years)]]*Table1[[#This Row],[Coupon Frequency2]]</f>
        <v>10</v>
      </c>
      <c r="U141">
        <f>Table1[[#This Row],[Face value]]*Table1[[#This Row],[Current coupon %]]/Table1[[#This Row],[Coupon Frequency2]]</f>
        <v>104.5</v>
      </c>
      <c r="V141" s="23">
        <f>RATE(Table1[[#This Row],[Total No. of Coupons]],Table1[[#This Row],[Coupon Amount]],-Table1[[#This Row],[Ask Price]],Table1[[#This Row],[Face value]])</f>
        <v>0.10354166795306464</v>
      </c>
      <c r="W141" s="24">
        <f>Table1[[#This Row],[IRR]]*Table1[[#This Row],[Coupon Frequency2]]</f>
        <v>0.10354166795306464</v>
      </c>
      <c r="X141" s="25" cm="1">
        <f t="array" ref="X1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1" s="26">
        <f>DURATION(Table1[[#This Row],[Issue date]],Table1[[#This Row],[Maturity date]],Table1[[#This Row],[Current coupon %]],Table1[[#This Row],[Yield (Annualised)]],Table1[[#This Row],[Coupon Frequency2]])</f>
        <v>6.6674248848417967</v>
      </c>
      <c r="Z141" s="26">
        <f>Table1[[#This Row],[Macaulay Duration in Years]]/(1+Table1[[#This Row],[IRR]])</f>
        <v>6.0418424409918812</v>
      </c>
      <c r="AA141" s="27">
        <f>VLOOKUP(Table1[[#This Row],[Yield Cluster]],'[1]Cluster Details'!$B$3:$C$16,2,0)</f>
        <v>0.11069942689191503</v>
      </c>
      <c r="AB141" s="28">
        <f>PRICE(Table1[[#This Row],[Issue date]],Table1[[#This Row],[Maturity date]],Table1[[#This Row],[Current coupon %]],Table1[[#This Row],[Average Cluster Yield]],100,Table1[[#This Row],[Coupon Frequency2]])*Table1[[#This Row],[Face value]]/100</f>
        <v>963.59696641729215</v>
      </c>
      <c r="AC141" s="27" t="str">
        <f>IF(Table1[[#This Row],[Ask Price]]&gt;Table1[[#This Row],[Calculated Bond Price]],"Rich","Cheap")</f>
        <v>Rich</v>
      </c>
      <c r="AD141" s="28">
        <f>PRICE(Table1[[#This Row],[Issue date]],Table1[[#This Row],[Maturity date]],Table1[[#This Row],[Current coupon %]],Table1[[#This Row],[Yield (Annualised)]]+$AE$2,100,Table1[[#This Row],[Coupon Frequency2]])*Table1[[#This Row],[Face value]]/100</f>
        <v>947.53314101391845</v>
      </c>
      <c r="AE141" s="28">
        <f>PRICE(Table1[[#This Row],[Issue date]],Table1[[#This Row],[Maturity date]],Table1[[#This Row],[Current coupon %]],Table1[[#This Row],[Yield (Annualised)]]-$AE$2,100,Table1[[#This Row],[Coupon Frequency2]])*Table1[[#This Row],[Face value]]/100</f>
        <v>1069.2436378605923</v>
      </c>
      <c r="AF141" s="28">
        <f>(Table1[[#This Row],[P (+ shock)]]+Table1[[#This Row],[P (-shock)]]-2*Table1[[#This Row],[Ask Price]])/(2*Table1[[#This Row],[Ask Price]]*($AE$2^2))</f>
        <v>25.734633498265069</v>
      </c>
    </row>
    <row r="142" spans="1:32" x14ac:dyDescent="0.25">
      <c r="A142" s="21" t="s">
        <v>367</v>
      </c>
      <c r="B142" s="3" t="s">
        <v>368</v>
      </c>
      <c r="C142" s="3" t="s">
        <v>19</v>
      </c>
      <c r="D142" s="4">
        <v>45443</v>
      </c>
      <c r="E142" s="4">
        <v>47269</v>
      </c>
      <c r="F142" s="3">
        <v>1000</v>
      </c>
      <c r="G142" s="3" t="s">
        <v>20</v>
      </c>
      <c r="H142" s="3">
        <v>988</v>
      </c>
      <c r="I142" s="3" t="s">
        <v>20</v>
      </c>
      <c r="J142" s="3">
        <v>98.8</v>
      </c>
      <c r="K142" s="3">
        <v>10</v>
      </c>
      <c r="L142" s="5">
        <v>0.10150000000000001</v>
      </c>
      <c r="M142" s="3" t="s">
        <v>21</v>
      </c>
      <c r="N142" s="3">
        <v>1352</v>
      </c>
      <c r="O142" s="6">
        <f>Table1[[#This Row],[Current coupon %]]*Table1[[#This Row],[Face value]]/Table1[[#This Row],[Ask Price]]</f>
        <v>0.1027327935222672</v>
      </c>
      <c r="P142" s="3" t="s">
        <v>25</v>
      </c>
      <c r="Q142" s="3" t="s">
        <v>22</v>
      </c>
      <c r="R142">
        <f t="shared" si="2"/>
        <v>5</v>
      </c>
      <c r="S142" s="22" cm="1">
        <f t="array" ref="S142">_xlfn.IFS(Table1[[#This Row],[Coupon frequency]]="Semi-annual",2,Table1[[#This Row],[Coupon frequency]]="Quarterly",4,Table1[[#This Row],[Coupon frequency]]="Annual",1,Table1[[#This Row],[Coupon frequency]]="Every 4 months",3,Table1[[#This Row],[Coupon frequency]]="Monthly",12)</f>
        <v>1</v>
      </c>
      <c r="T142">
        <f>Table1[[#This Row],[Term to Maturity (Years)]]*Table1[[#This Row],[Coupon Frequency2]]</f>
        <v>5</v>
      </c>
      <c r="U142">
        <f>Table1[[#This Row],[Face value]]*Table1[[#This Row],[Current coupon %]]/Table1[[#This Row],[Coupon Frequency2]]</f>
        <v>101.5</v>
      </c>
      <c r="V142" s="23">
        <f>RATE(Table1[[#This Row],[Total No. of Coupons]],Table1[[#This Row],[Coupon Amount]],-Table1[[#This Row],[Ask Price]],Table1[[#This Row],[Face value]])</f>
        <v>0.1047036981184099</v>
      </c>
      <c r="W142" s="24">
        <f>Table1[[#This Row],[IRR]]*Table1[[#This Row],[Coupon Frequency2]]</f>
        <v>0.1047036981184099</v>
      </c>
      <c r="X142" s="25" cm="1">
        <f t="array" ref="X1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2" s="26">
        <f>DURATION(Table1[[#This Row],[Issue date]],Table1[[#This Row],[Maturity date]],Table1[[#This Row],[Current coupon %]],Table1[[#This Row],[Yield (Annualised)]],Table1[[#This Row],[Coupon Frequency2]])</f>
        <v>4.1540855741943377</v>
      </c>
      <c r="Z142" s="26">
        <f>Table1[[#This Row],[Macaulay Duration in Years]]/(1+Table1[[#This Row],[IRR]])</f>
        <v>3.7603617886586211</v>
      </c>
      <c r="AA142" s="27">
        <f>VLOOKUP(Table1[[#This Row],[Yield Cluster]],'[1]Cluster Details'!$B$3:$C$16,2,0)</f>
        <v>0.11069942689191503</v>
      </c>
      <c r="AB142" s="28">
        <f>PRICE(Table1[[#This Row],[Issue date]],Table1[[#This Row],[Maturity date]],Table1[[#This Row],[Current coupon %]],Table1[[#This Row],[Average Cluster Yield]],100,Table1[[#This Row],[Coupon Frequency2]])*Table1[[#This Row],[Face value]]/100</f>
        <v>966.05960217670099</v>
      </c>
      <c r="AC142" s="27" t="str">
        <f>IF(Table1[[#This Row],[Ask Price]]&gt;Table1[[#This Row],[Calculated Bond Price]],"Rich","Cheap")</f>
        <v>Rich</v>
      </c>
      <c r="AD142" s="28">
        <f>PRICE(Table1[[#This Row],[Issue date]],Table1[[#This Row],[Maturity date]],Table1[[#This Row],[Current coupon %]],Table1[[#This Row],[Yield (Annualised)]]+$AE$2,100,Table1[[#This Row],[Coupon Frequency2]])*Table1[[#This Row],[Face value]]/100</f>
        <v>951.77244758332517</v>
      </c>
      <c r="AE142" s="28">
        <f>PRICE(Table1[[#This Row],[Issue date]],Table1[[#This Row],[Maturity date]],Table1[[#This Row],[Current coupon %]],Table1[[#This Row],[Yield (Annualised)]]-$AE$2,100,Table1[[#This Row],[Coupon Frequency2]])*Table1[[#This Row],[Face value]]/100</f>
        <v>1026.1157392998075</v>
      </c>
      <c r="AF142" s="28">
        <f>(Table1[[#This Row],[P (+ shock)]]+Table1[[#This Row],[P (-shock)]]-2*Table1[[#This Row],[Ask Price]])/(2*Table1[[#This Row],[Ask Price]]*($AE$2^2))</f>
        <v>9.5556016352868198</v>
      </c>
    </row>
    <row r="143" spans="1:32" x14ac:dyDescent="0.25">
      <c r="A143" s="21" t="s">
        <v>369</v>
      </c>
      <c r="B143" s="3" t="s">
        <v>370</v>
      </c>
      <c r="C143" s="3" t="s">
        <v>19</v>
      </c>
      <c r="D143" s="4">
        <v>45827</v>
      </c>
      <c r="E143" s="4">
        <v>47653</v>
      </c>
      <c r="F143" s="3">
        <v>100000</v>
      </c>
      <c r="G143" s="3" t="s">
        <v>20</v>
      </c>
      <c r="H143" s="3">
        <v>92487.22</v>
      </c>
      <c r="I143" s="3" t="s">
        <v>20</v>
      </c>
      <c r="J143" s="3">
        <v>92.487219999999994</v>
      </c>
      <c r="K143" s="3">
        <v>20</v>
      </c>
      <c r="L143" s="5">
        <v>9.5000000000000001E-2</v>
      </c>
      <c r="M143" s="3" t="s">
        <v>21</v>
      </c>
      <c r="N143" s="3">
        <v>1736</v>
      </c>
      <c r="O143" s="6">
        <f>Table1[[#This Row],[Current coupon %]]*Table1[[#This Row],[Face value]]/Table1[[#This Row],[Ask Price]]</f>
        <v>0.10271689429090851</v>
      </c>
      <c r="P143" s="3" t="s">
        <v>25</v>
      </c>
      <c r="Q143" s="3" t="s">
        <v>22</v>
      </c>
      <c r="R143">
        <f t="shared" si="2"/>
        <v>5</v>
      </c>
      <c r="S143" s="22" cm="1">
        <f t="array" ref="S143">_xlfn.IFS(Table1[[#This Row],[Coupon frequency]]="Semi-annual",2,Table1[[#This Row],[Coupon frequency]]="Quarterly",4,Table1[[#This Row],[Coupon frequency]]="Annual",1,Table1[[#This Row],[Coupon frequency]]="Every 4 months",3,Table1[[#This Row],[Coupon frequency]]="Monthly",12)</f>
        <v>1</v>
      </c>
      <c r="T143">
        <f>Table1[[#This Row],[Term to Maturity (Years)]]*Table1[[#This Row],[Coupon Frequency2]]</f>
        <v>5</v>
      </c>
      <c r="U143">
        <f>Table1[[#This Row],[Face value]]*Table1[[#This Row],[Current coupon %]]/Table1[[#This Row],[Coupon Frequency2]]</f>
        <v>9500</v>
      </c>
      <c r="V143" s="23">
        <f>RATE(Table1[[#This Row],[Total No. of Coupons]],Table1[[#This Row],[Coupon Amount]],-Table1[[#This Row],[Ask Price]],Table1[[#This Row],[Face value]])</f>
        <v>0.11561527194600928</v>
      </c>
      <c r="W143" s="24">
        <f>Table1[[#This Row],[IRR]]*Table1[[#This Row],[Coupon Frequency2]]</f>
        <v>0.11561527194600928</v>
      </c>
      <c r="X143" s="25" cm="1">
        <f t="array" ref="X1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3" s="26">
        <f>DURATION(Table1[[#This Row],[Issue date]],Table1[[#This Row],[Maturity date]],Table1[[#This Row],[Current coupon %]],Table1[[#This Row],[Yield (Annualised)]],Table1[[#This Row],[Coupon Frequency2]])</f>
        <v>4.1698560914804927</v>
      </c>
      <c r="Z143" s="26">
        <f>Table1[[#This Row],[Macaulay Duration in Years]]/(1+Table1[[#This Row],[IRR]])</f>
        <v>3.7377187246700716</v>
      </c>
      <c r="AA143" s="27">
        <f>VLOOKUP(Table1[[#This Row],[Yield Cluster]],'[1]Cluster Details'!$B$3:$C$16,2,0)</f>
        <v>0.11069942689191503</v>
      </c>
      <c r="AB143" s="28">
        <f>PRICE(Table1[[#This Row],[Issue date]],Table1[[#This Row],[Maturity date]],Table1[[#This Row],[Current coupon %]],Table1[[#This Row],[Average Cluster Yield]],100,Table1[[#This Row],[Coupon Frequency2]])*Table1[[#This Row],[Face value]]/100</f>
        <v>94207.847939117957</v>
      </c>
      <c r="AC143" s="27" t="str">
        <f>IF(Table1[[#This Row],[Ask Price]]&gt;Table1[[#This Row],[Calculated Bond Price]],"Rich","Cheap")</f>
        <v>Cheap</v>
      </c>
      <c r="AD143" s="28">
        <f>PRICE(Table1[[#This Row],[Issue date]],Table1[[#This Row],[Maturity date]],Table1[[#This Row],[Current coupon %]],Table1[[#This Row],[Yield (Annualised)]]+$AE$2,100,Table1[[#This Row],[Coupon Frequency2]])*Table1[[#This Row],[Face value]]/100</f>
        <v>89115.692204750827</v>
      </c>
      <c r="AE143" s="28">
        <f>PRICE(Table1[[#This Row],[Issue date]],Table1[[#This Row],[Maturity date]],Table1[[#This Row],[Current coupon %]],Table1[[#This Row],[Yield (Annualised)]]-$AE$2,100,Table1[[#This Row],[Coupon Frequency2]])*Table1[[#This Row],[Face value]]/100</f>
        <v>96033.043399422691</v>
      </c>
      <c r="AF143" s="28">
        <f>(Table1[[#This Row],[P (+ shock)]]+Table1[[#This Row],[P (-shock)]]-2*Table1[[#This Row],[Ask Price]])/(2*Table1[[#This Row],[Ask Price]]*($AE$2^2))</f>
        <v>9.4226858680313601</v>
      </c>
    </row>
    <row r="144" spans="1:32" x14ac:dyDescent="0.25">
      <c r="A144" s="21" t="s">
        <v>371</v>
      </c>
      <c r="B144" s="3" t="s">
        <v>372</v>
      </c>
      <c r="C144" s="3" t="s">
        <v>19</v>
      </c>
      <c r="D144" s="4">
        <v>43469</v>
      </c>
      <c r="E144" s="4">
        <v>47122</v>
      </c>
      <c r="F144" s="3">
        <v>1000</v>
      </c>
      <c r="G144" s="3" t="s">
        <v>20</v>
      </c>
      <c r="H144" s="3">
        <v>1018</v>
      </c>
      <c r="I144" s="3" t="s">
        <v>20</v>
      </c>
      <c r="J144" s="3">
        <v>101.8</v>
      </c>
      <c r="K144" s="3">
        <v>40</v>
      </c>
      <c r="L144" s="5">
        <v>0.106</v>
      </c>
      <c r="M144" s="3" t="s">
        <v>21</v>
      </c>
      <c r="N144" s="3">
        <v>1205</v>
      </c>
      <c r="O144" s="6">
        <f>Table1[[#This Row],[Current coupon %]]*Table1[[#This Row],[Face value]]/Table1[[#This Row],[Ask Price]]</f>
        <v>0.10412573673870335</v>
      </c>
      <c r="P144" s="3"/>
      <c r="Q144" s="3" t="s">
        <v>22</v>
      </c>
      <c r="R144">
        <f t="shared" si="2"/>
        <v>10</v>
      </c>
      <c r="S144" s="22" cm="1">
        <f t="array" ref="S144">_xlfn.IFS(Table1[[#This Row],[Coupon frequency]]="Semi-annual",2,Table1[[#This Row],[Coupon frequency]]="Quarterly",4,Table1[[#This Row],[Coupon frequency]]="Annual",1,Table1[[#This Row],[Coupon frequency]]="Every 4 months",3,Table1[[#This Row],[Coupon frequency]]="Monthly",12)</f>
        <v>1</v>
      </c>
      <c r="T144">
        <f>Table1[[#This Row],[Term to Maturity (Years)]]*Table1[[#This Row],[Coupon Frequency2]]</f>
        <v>10</v>
      </c>
      <c r="U144">
        <f>Table1[[#This Row],[Face value]]*Table1[[#This Row],[Current coupon %]]/Table1[[#This Row],[Coupon Frequency2]]</f>
        <v>106</v>
      </c>
      <c r="V144" s="23">
        <f>RATE(Table1[[#This Row],[Total No. of Coupons]],Table1[[#This Row],[Coupon Amount]],-Table1[[#This Row],[Ask Price]],Table1[[#This Row],[Face value]])</f>
        <v>0.10303231516127778</v>
      </c>
      <c r="W144" s="24">
        <f>Table1[[#This Row],[IRR]]*Table1[[#This Row],[Coupon Frequency2]]</f>
        <v>0.10303231516127778</v>
      </c>
      <c r="X144" s="25" cm="1">
        <f t="array" ref="X1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4" s="26">
        <f>DURATION(Table1[[#This Row],[Issue date]],Table1[[#This Row],[Maturity date]],Table1[[#This Row],[Current coupon %]],Table1[[#This Row],[Yield (Annualised)]],Table1[[#This Row],[Coupon Frequency2]])</f>
        <v>6.6551351595735069</v>
      </c>
      <c r="Z144" s="26">
        <f>Table1[[#This Row],[Macaulay Duration in Years]]/(1+Table1[[#This Row],[IRR]])</f>
        <v>6.0334906494561213</v>
      </c>
      <c r="AA144" s="27">
        <f>VLOOKUP(Table1[[#This Row],[Yield Cluster]],'[1]Cluster Details'!$B$3:$C$16,2,0)</f>
        <v>0.11069942689191503</v>
      </c>
      <c r="AB144" s="28">
        <f>PRICE(Table1[[#This Row],[Issue date]],Table1[[#This Row],[Maturity date]],Table1[[#This Row],[Current coupon %]],Table1[[#This Row],[Average Cluster Yield]],100,Table1[[#This Row],[Coupon Frequency2]])*Table1[[#This Row],[Face value]]/100</f>
        <v>972.40496614469828</v>
      </c>
      <c r="AC144" s="27" t="str">
        <f>IF(Table1[[#This Row],[Ask Price]]&gt;Table1[[#This Row],[Calculated Bond Price]],"Rich","Cheap")</f>
        <v>Rich</v>
      </c>
      <c r="AD144" s="28">
        <f>PRICE(Table1[[#This Row],[Issue date]],Table1[[#This Row],[Maturity date]],Table1[[#This Row],[Current coupon %]],Table1[[#This Row],[Yield (Annualised)]]+$AE$2,100,Table1[[#This Row],[Coupon Frequency2]])*Table1[[#This Row],[Face value]]/100</f>
        <v>959.10642484275343</v>
      </c>
      <c r="AE144" s="28">
        <f>PRICE(Table1[[#This Row],[Issue date]],Table1[[#This Row],[Maturity date]],Table1[[#This Row],[Current coupon %]],Table1[[#This Row],[Yield (Annualised)]]-$AE$2,100,Table1[[#This Row],[Coupon Frequency2]])*Table1[[#This Row],[Face value]]/100</f>
        <v>1082.1228064228719</v>
      </c>
      <c r="AF144" s="28">
        <f>(Table1[[#This Row],[P (+ shock)]]+Table1[[#This Row],[P (-shock)]]-2*Table1[[#This Row],[Ask Price]])/(2*Table1[[#This Row],[Ask Price]]*($AE$2^2))</f>
        <v>25.683847080675136</v>
      </c>
    </row>
    <row r="145" spans="1:32" x14ac:dyDescent="0.25">
      <c r="A145" s="21" t="s">
        <v>373</v>
      </c>
      <c r="B145" s="3" t="s">
        <v>374</v>
      </c>
      <c r="C145" s="3" t="s">
        <v>19</v>
      </c>
      <c r="D145" s="4">
        <v>45650</v>
      </c>
      <c r="E145" s="4">
        <v>46379</v>
      </c>
      <c r="F145" s="3">
        <v>10000</v>
      </c>
      <c r="G145" s="3" t="s">
        <v>20</v>
      </c>
      <c r="H145" s="3">
        <v>9850.5</v>
      </c>
      <c r="I145" s="3" t="s">
        <v>20</v>
      </c>
      <c r="J145" s="3">
        <v>98.504999999999995</v>
      </c>
      <c r="K145" s="3">
        <v>4</v>
      </c>
      <c r="L145" s="5">
        <v>0.1011</v>
      </c>
      <c r="M145" s="3" t="s">
        <v>44</v>
      </c>
      <c r="N145" s="3">
        <v>462</v>
      </c>
      <c r="O145" s="6">
        <f>Table1[[#This Row],[Current coupon %]]*Table1[[#This Row],[Face value]]/Table1[[#This Row],[Ask Price]]</f>
        <v>0.10263438404141921</v>
      </c>
      <c r="P145" s="3"/>
      <c r="Q145" s="3" t="s">
        <v>22</v>
      </c>
      <c r="R145">
        <f t="shared" si="2"/>
        <v>2</v>
      </c>
      <c r="S145" s="22" cm="1">
        <f t="array" ref="S145">_xlfn.IFS(Table1[[#This Row],[Coupon frequency]]="Semi-annual",2,Table1[[#This Row],[Coupon frequency]]="Quarterly",4,Table1[[#This Row],[Coupon frequency]]="Annual",1,Table1[[#This Row],[Coupon frequency]]="Every 4 months",3,Table1[[#This Row],[Coupon frequency]]="Monthly",12)</f>
        <v>4</v>
      </c>
      <c r="T145">
        <f>Table1[[#This Row],[Term to Maturity (Years)]]*Table1[[#This Row],[Coupon Frequency2]]</f>
        <v>8</v>
      </c>
      <c r="U145">
        <f>Table1[[#This Row],[Face value]]*Table1[[#This Row],[Current coupon %]]/Table1[[#This Row],[Coupon Frequency2]]</f>
        <v>252.75</v>
      </c>
      <c r="V145" s="23">
        <f>RATE(Table1[[#This Row],[Total No. of Coupons]],Table1[[#This Row],[Coupon Amount]],-Table1[[#This Row],[Ask Price]],Table1[[#This Row],[Face value]])</f>
        <v>2.7381260241520308E-2</v>
      </c>
      <c r="W145" s="24">
        <f>Table1[[#This Row],[IRR]]*Table1[[#This Row],[Coupon Frequency2]]</f>
        <v>0.10952504096608123</v>
      </c>
      <c r="X145" s="25" cm="1">
        <f t="array" ref="X1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5" s="26">
        <f>DURATION(Table1[[#This Row],[Issue date]],Table1[[#This Row],[Maturity date]],Table1[[#This Row],[Current coupon %]],Table1[[#This Row],[Yield (Annualised)]],Table1[[#This Row],[Coupon Frequency2]])</f>
        <v>1.8314136286803202</v>
      </c>
      <c r="Z145" s="26">
        <f>Table1[[#This Row],[Macaulay Duration in Years]]/(1+Table1[[#This Row],[IRR]])</f>
        <v>1.782603693053332</v>
      </c>
      <c r="AA145" s="27">
        <f>VLOOKUP(Table1[[#This Row],[Yield Cluster]],'[1]Cluster Details'!$B$3:$C$16,2,0)</f>
        <v>0.11069942689191503</v>
      </c>
      <c r="AB145" s="28">
        <f>PRICE(Table1[[#This Row],[Issue date]],Table1[[#This Row],[Maturity date]],Table1[[#This Row],[Current coupon %]],Table1[[#This Row],[Average Cluster Yield]],100,Table1[[#This Row],[Coupon Frequency2]])*Table1[[#This Row],[Face value]]/100</f>
        <v>9830.0465235208903</v>
      </c>
      <c r="AC145" s="27" t="str">
        <f>IF(Table1[[#This Row],[Ask Price]]&gt;Table1[[#This Row],[Calculated Bond Price]],"Rich","Cheap")</f>
        <v>Rich</v>
      </c>
      <c r="AD145" s="28">
        <f>PRICE(Table1[[#This Row],[Issue date]],Table1[[#This Row],[Maturity date]],Table1[[#This Row],[Current coupon %]],Table1[[#This Row],[Yield (Annualised)]]+$AE$2,100,Table1[[#This Row],[Coupon Frequency2]])*Table1[[#This Row],[Face value]]/100</f>
        <v>9676.8505376826743</v>
      </c>
      <c r="AE145" s="28">
        <f>PRICE(Table1[[#This Row],[Issue date]],Table1[[#This Row],[Maturity date]],Table1[[#This Row],[Current coupon %]],Table1[[#This Row],[Yield (Annualised)]]-$AE$2,100,Table1[[#This Row],[Coupon Frequency2]])*Table1[[#This Row],[Face value]]/100</f>
        <v>10028.176484828007</v>
      </c>
      <c r="AF145" s="28">
        <f>(Table1[[#This Row],[P (+ shock)]]+Table1[[#This Row],[P (-shock)]]-2*Table1[[#This Row],[Ask Price]])/(2*Table1[[#This Row],[Ask Price]]*($AE$2^2))</f>
        <v>2.0440701033854478</v>
      </c>
    </row>
    <row r="146" spans="1:32" x14ac:dyDescent="0.25">
      <c r="A146" s="21" t="s">
        <v>375</v>
      </c>
      <c r="B146" s="3" t="s">
        <v>376</v>
      </c>
      <c r="C146" s="3" t="s">
        <v>19</v>
      </c>
      <c r="D146" s="4">
        <v>45768</v>
      </c>
      <c r="E146" s="4">
        <v>47594</v>
      </c>
      <c r="F146" s="3">
        <v>1000</v>
      </c>
      <c r="G146" s="3" t="s">
        <v>20</v>
      </c>
      <c r="H146" s="3">
        <v>1000</v>
      </c>
      <c r="I146" s="3" t="s">
        <v>20</v>
      </c>
      <c r="J146" s="3">
        <v>100</v>
      </c>
      <c r="K146" s="3">
        <v>200</v>
      </c>
      <c r="L146" s="5">
        <v>0.10249999999999999</v>
      </c>
      <c r="M146" s="3" t="s">
        <v>21</v>
      </c>
      <c r="N146" s="3">
        <v>1677</v>
      </c>
      <c r="O146" s="6">
        <f>Table1[[#This Row],[Current coupon %]]*Table1[[#This Row],[Face value]]/Table1[[#This Row],[Ask Price]]</f>
        <v>0.10249999999999999</v>
      </c>
      <c r="P146" s="3" t="s">
        <v>25</v>
      </c>
      <c r="Q146" s="3" t="s">
        <v>22</v>
      </c>
      <c r="R146">
        <f t="shared" si="2"/>
        <v>5</v>
      </c>
      <c r="S146" s="22" cm="1">
        <f t="array" ref="S146">_xlfn.IFS(Table1[[#This Row],[Coupon frequency]]="Semi-annual",2,Table1[[#This Row],[Coupon frequency]]="Quarterly",4,Table1[[#This Row],[Coupon frequency]]="Annual",1,Table1[[#This Row],[Coupon frequency]]="Every 4 months",3,Table1[[#This Row],[Coupon frequency]]="Monthly",12)</f>
        <v>1</v>
      </c>
      <c r="T146">
        <f>Table1[[#This Row],[Term to Maturity (Years)]]*Table1[[#This Row],[Coupon Frequency2]]</f>
        <v>5</v>
      </c>
      <c r="U146">
        <f>Table1[[#This Row],[Face value]]*Table1[[#This Row],[Current coupon %]]/Table1[[#This Row],[Coupon Frequency2]]</f>
        <v>102.5</v>
      </c>
      <c r="V146" s="23">
        <f>RATE(Table1[[#This Row],[Total No. of Coupons]],Table1[[#This Row],[Coupon Amount]],-Table1[[#This Row],[Ask Price]],Table1[[#This Row],[Face value]])</f>
        <v>0.10250000000000002</v>
      </c>
      <c r="W146" s="24">
        <f>Table1[[#This Row],[IRR]]*Table1[[#This Row],[Coupon Frequency2]]</f>
        <v>0.10250000000000002</v>
      </c>
      <c r="X146" s="25" cm="1">
        <f t="array" ref="X1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6" s="26">
        <f>DURATION(Table1[[#This Row],[Issue date]],Table1[[#This Row],[Maturity date]],Table1[[#This Row],[Current coupon %]],Table1[[#This Row],[Yield (Annualised)]],Table1[[#This Row],[Coupon Frequency2]])</f>
        <v>4.1527867119152466</v>
      </c>
      <c r="Z146" s="26">
        <f>Table1[[#This Row],[Macaulay Duration in Years]]/(1+Table1[[#This Row],[IRR]])</f>
        <v>3.7666999654560058</v>
      </c>
      <c r="AA146" s="27">
        <f>VLOOKUP(Table1[[#This Row],[Yield Cluster]],'[1]Cluster Details'!$B$3:$C$16,2,0)</f>
        <v>0.11069942689191503</v>
      </c>
      <c r="AB146" s="28">
        <f>PRICE(Table1[[#This Row],[Issue date]],Table1[[#This Row],[Maturity date]],Table1[[#This Row],[Current coupon %]],Table1[[#This Row],[Average Cluster Yield]],100,Table1[[#This Row],[Coupon Frequency2]])*Table1[[#This Row],[Face value]]/100</f>
        <v>969.74900568216583</v>
      </c>
      <c r="AC146" s="27" t="str">
        <f>IF(Table1[[#This Row],[Ask Price]]&gt;Table1[[#This Row],[Calculated Bond Price]],"Rich","Cheap")</f>
        <v>Rich</v>
      </c>
      <c r="AD146" s="28">
        <f>PRICE(Table1[[#This Row],[Issue date]],Table1[[#This Row],[Maturity date]],Table1[[#This Row],[Current coupon %]],Table1[[#This Row],[Yield (Annualised)]]+$AE$2,100,Table1[[#This Row],[Coupon Frequency2]])*Table1[[#This Row],[Face value]]/100</f>
        <v>963.27228771951411</v>
      </c>
      <c r="AE146" s="28">
        <f>PRICE(Table1[[#This Row],[Issue date]],Table1[[#This Row],[Maturity date]],Table1[[#This Row],[Current coupon %]],Table1[[#This Row],[Yield (Annualised)]]-$AE$2,100,Table1[[#This Row],[Coupon Frequency2]])*Table1[[#This Row],[Face value]]/100</f>
        <v>1038.6455074628657</v>
      </c>
      <c r="AF146" s="28">
        <f>(Table1[[#This Row],[P (+ shock)]]+Table1[[#This Row],[P (-shock)]]-2*Table1[[#This Row],[Ask Price]])/(2*Table1[[#This Row],[Ask Price]]*($AE$2^2))</f>
        <v>9.5889759118995244</v>
      </c>
    </row>
    <row r="147" spans="1:32" x14ac:dyDescent="0.25">
      <c r="A147" s="21" t="s">
        <v>377</v>
      </c>
      <c r="B147" s="3" t="s">
        <v>350</v>
      </c>
      <c r="C147" s="3" t="s">
        <v>19</v>
      </c>
      <c r="D147" s="4">
        <v>45862</v>
      </c>
      <c r="E147" s="4">
        <v>47688</v>
      </c>
      <c r="F147" s="3">
        <v>1000</v>
      </c>
      <c r="G147" s="3" t="s">
        <v>20</v>
      </c>
      <c r="H147" s="3">
        <v>1000</v>
      </c>
      <c r="I147" s="3" t="s">
        <v>20</v>
      </c>
      <c r="J147" s="3">
        <v>100</v>
      </c>
      <c r="K147" s="3">
        <v>30</v>
      </c>
      <c r="L147" s="5">
        <v>0.10249999999999999</v>
      </c>
      <c r="M147" s="3" t="s">
        <v>21</v>
      </c>
      <c r="N147" s="3">
        <v>1771</v>
      </c>
      <c r="O147" s="6">
        <f>Table1[[#This Row],[Current coupon %]]*Table1[[#This Row],[Face value]]/Table1[[#This Row],[Ask Price]]</f>
        <v>0.10249999999999999</v>
      </c>
      <c r="P147" s="3"/>
      <c r="Q147" s="3" t="s">
        <v>22</v>
      </c>
      <c r="R147">
        <f t="shared" si="2"/>
        <v>5</v>
      </c>
      <c r="S147" s="22" cm="1">
        <f t="array" ref="S147">_xlfn.IFS(Table1[[#This Row],[Coupon frequency]]="Semi-annual",2,Table1[[#This Row],[Coupon frequency]]="Quarterly",4,Table1[[#This Row],[Coupon frequency]]="Annual",1,Table1[[#This Row],[Coupon frequency]]="Every 4 months",3,Table1[[#This Row],[Coupon frequency]]="Monthly",12)</f>
        <v>1</v>
      </c>
      <c r="T147">
        <f>Table1[[#This Row],[Term to Maturity (Years)]]*Table1[[#This Row],[Coupon Frequency2]]</f>
        <v>5</v>
      </c>
      <c r="U147">
        <f>Table1[[#This Row],[Face value]]*Table1[[#This Row],[Current coupon %]]/Table1[[#This Row],[Coupon Frequency2]]</f>
        <v>102.5</v>
      </c>
      <c r="V147" s="23">
        <f>RATE(Table1[[#This Row],[Total No. of Coupons]],Table1[[#This Row],[Coupon Amount]],-Table1[[#This Row],[Ask Price]],Table1[[#This Row],[Face value]])</f>
        <v>0.10250000000000002</v>
      </c>
      <c r="W147" s="24">
        <f>Table1[[#This Row],[IRR]]*Table1[[#This Row],[Coupon Frequency2]]</f>
        <v>0.10250000000000002</v>
      </c>
      <c r="X147" s="25" cm="1">
        <f t="array" ref="X1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7" s="26">
        <f>DURATION(Table1[[#This Row],[Issue date]],Table1[[#This Row],[Maturity date]],Table1[[#This Row],[Current coupon %]],Table1[[#This Row],[Yield (Annualised)]],Table1[[#This Row],[Coupon Frequency2]])</f>
        <v>4.1527867119152466</v>
      </c>
      <c r="Z147" s="26">
        <f>Table1[[#This Row],[Macaulay Duration in Years]]/(1+Table1[[#This Row],[IRR]])</f>
        <v>3.7666999654560058</v>
      </c>
      <c r="AA147" s="27">
        <f>VLOOKUP(Table1[[#This Row],[Yield Cluster]],'[1]Cluster Details'!$B$3:$C$16,2,0)</f>
        <v>0.11069942689191503</v>
      </c>
      <c r="AB147" s="28">
        <f>PRICE(Table1[[#This Row],[Issue date]],Table1[[#This Row],[Maturity date]],Table1[[#This Row],[Current coupon %]],Table1[[#This Row],[Average Cluster Yield]],100,Table1[[#This Row],[Coupon Frequency2]])*Table1[[#This Row],[Face value]]/100</f>
        <v>969.74900568216583</v>
      </c>
      <c r="AC147" s="27" t="str">
        <f>IF(Table1[[#This Row],[Ask Price]]&gt;Table1[[#This Row],[Calculated Bond Price]],"Rich","Cheap")</f>
        <v>Rich</v>
      </c>
      <c r="AD147" s="28">
        <f>PRICE(Table1[[#This Row],[Issue date]],Table1[[#This Row],[Maturity date]],Table1[[#This Row],[Current coupon %]],Table1[[#This Row],[Yield (Annualised)]]+$AE$2,100,Table1[[#This Row],[Coupon Frequency2]])*Table1[[#This Row],[Face value]]/100</f>
        <v>963.27228771951411</v>
      </c>
      <c r="AE147" s="28">
        <f>PRICE(Table1[[#This Row],[Issue date]],Table1[[#This Row],[Maturity date]],Table1[[#This Row],[Current coupon %]],Table1[[#This Row],[Yield (Annualised)]]-$AE$2,100,Table1[[#This Row],[Coupon Frequency2]])*Table1[[#This Row],[Face value]]/100</f>
        <v>1038.6455074628657</v>
      </c>
      <c r="AF147" s="28">
        <f>(Table1[[#This Row],[P (+ shock)]]+Table1[[#This Row],[P (-shock)]]-2*Table1[[#This Row],[Ask Price]])/(2*Table1[[#This Row],[Ask Price]]*($AE$2^2))</f>
        <v>9.5889759118995244</v>
      </c>
    </row>
    <row r="148" spans="1:32" x14ac:dyDescent="0.25">
      <c r="A148" s="21" t="s">
        <v>378</v>
      </c>
      <c r="B148" s="3" t="s">
        <v>379</v>
      </c>
      <c r="C148" s="3" t="s">
        <v>19</v>
      </c>
      <c r="D148" s="4">
        <v>45061</v>
      </c>
      <c r="E148" s="4">
        <v>46167</v>
      </c>
      <c r="F148" s="3">
        <v>100000</v>
      </c>
      <c r="G148" s="3" t="s">
        <v>20</v>
      </c>
      <c r="H148" s="3">
        <v>100000</v>
      </c>
      <c r="I148" s="3" t="s">
        <v>20</v>
      </c>
      <c r="J148" s="3">
        <v>100</v>
      </c>
      <c r="K148" s="3">
        <v>10</v>
      </c>
      <c r="L148" s="5">
        <v>0.10249999999999999</v>
      </c>
      <c r="M148" s="3" t="s">
        <v>44</v>
      </c>
      <c r="N148" s="3">
        <v>250</v>
      </c>
      <c r="O148" s="6">
        <f>Table1[[#This Row],[Current coupon %]]*Table1[[#This Row],[Face value]]/Table1[[#This Row],[Ask Price]]</f>
        <v>0.10249999999999999</v>
      </c>
      <c r="P148" s="3"/>
      <c r="Q148" s="3" t="s">
        <v>22</v>
      </c>
      <c r="R148">
        <f t="shared" si="2"/>
        <v>3</v>
      </c>
      <c r="S148" s="22" cm="1">
        <f t="array" ref="S148">_xlfn.IFS(Table1[[#This Row],[Coupon frequency]]="Semi-annual",2,Table1[[#This Row],[Coupon frequency]]="Quarterly",4,Table1[[#This Row],[Coupon frequency]]="Annual",1,Table1[[#This Row],[Coupon frequency]]="Every 4 months",3,Table1[[#This Row],[Coupon frequency]]="Monthly",12)</f>
        <v>4</v>
      </c>
      <c r="T148">
        <f>Table1[[#This Row],[Term to Maturity (Years)]]*Table1[[#This Row],[Coupon Frequency2]]</f>
        <v>12</v>
      </c>
      <c r="U148">
        <f>Table1[[#This Row],[Face value]]*Table1[[#This Row],[Current coupon %]]/Table1[[#This Row],[Coupon Frequency2]]</f>
        <v>2562.5</v>
      </c>
      <c r="V148" s="23">
        <f>RATE(Table1[[#This Row],[Total No. of Coupons]],Table1[[#This Row],[Coupon Amount]],-Table1[[#This Row],[Ask Price]],Table1[[#This Row],[Face value]])</f>
        <v>2.5625000000000085E-2</v>
      </c>
      <c r="W148" s="24">
        <f>Table1[[#This Row],[IRR]]*Table1[[#This Row],[Coupon Frequency2]]</f>
        <v>0.10250000000000034</v>
      </c>
      <c r="X148" s="25" cm="1">
        <f t="array" ref="X1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48" s="26">
        <f>DURATION(Table1[[#This Row],[Issue date]],Table1[[#This Row],[Maturity date]],Table1[[#This Row],[Current coupon %]],Table1[[#This Row],[Yield (Annualised)]],Table1[[#This Row],[Coupon Frequency2]])</f>
        <v>2.5825413429368229</v>
      </c>
      <c r="Z148" s="26">
        <f>Table1[[#This Row],[Macaulay Duration in Years]]/(1+Table1[[#This Row],[IRR]])</f>
        <v>2.518017153381424</v>
      </c>
      <c r="AA148" s="27">
        <f>VLOOKUP(Table1[[#This Row],[Yield Cluster]],'[1]Cluster Details'!$B$3:$C$16,2,0)</f>
        <v>0.11069942689191503</v>
      </c>
      <c r="AB148" s="28">
        <f>PRICE(Table1[[#This Row],[Issue date]],Table1[[#This Row],[Maturity date]],Table1[[#This Row],[Current coupon %]],Table1[[#This Row],[Average Cluster Yield]],100,Table1[[#This Row],[Coupon Frequency2]])*Table1[[#This Row],[Face value]]/100</f>
        <v>97911.325615271388</v>
      </c>
      <c r="AC148" s="27" t="str">
        <f>IF(Table1[[#This Row],[Ask Price]]&gt;Table1[[#This Row],[Calculated Bond Price]],"Rich","Cheap")</f>
        <v>Rich</v>
      </c>
      <c r="AD148" s="28">
        <f>PRICE(Table1[[#This Row],[Issue date]],Table1[[#This Row],[Maturity date]],Table1[[#This Row],[Current coupon %]],Table1[[#This Row],[Yield (Annualised)]]+$AE$2,100,Table1[[#This Row],[Coupon Frequency2]])*Table1[[#This Row],[Face value]]/100</f>
        <v>97460.283639172965</v>
      </c>
      <c r="AE148" s="28">
        <f>PRICE(Table1[[#This Row],[Issue date]],Table1[[#This Row],[Maturity date]],Table1[[#This Row],[Current coupon %]],Table1[[#This Row],[Yield (Annualised)]]-$AE$2,100,Table1[[#This Row],[Coupon Frequency2]])*Table1[[#This Row],[Face value]]/100</f>
        <v>102611.74379088203</v>
      </c>
      <c r="AF148" s="28">
        <f>(Table1[[#This Row],[P (+ shock)]]+Table1[[#This Row],[P (-shock)]]-2*Table1[[#This Row],[Ask Price]])/(2*Table1[[#This Row],[Ask Price]]*($AE$2^2))</f>
        <v>3.60137150274968</v>
      </c>
    </row>
    <row r="149" spans="1:32" x14ac:dyDescent="0.25">
      <c r="A149" s="21" t="s">
        <v>380</v>
      </c>
      <c r="B149" s="3" t="s">
        <v>381</v>
      </c>
      <c r="C149" s="3" t="s">
        <v>19</v>
      </c>
      <c r="D149" s="4">
        <v>45659</v>
      </c>
      <c r="E149" s="4">
        <v>46570</v>
      </c>
      <c r="F149" s="3">
        <v>100000</v>
      </c>
      <c r="G149" s="3" t="s">
        <v>20</v>
      </c>
      <c r="H149" s="3">
        <v>105800</v>
      </c>
      <c r="I149" s="3" t="s">
        <v>20</v>
      </c>
      <c r="J149" s="3">
        <v>105.8</v>
      </c>
      <c r="K149" s="3">
        <v>1</v>
      </c>
      <c r="L149" s="5">
        <v>0.10800000000000001</v>
      </c>
      <c r="M149" s="3" t="s">
        <v>21</v>
      </c>
      <c r="N149" s="3">
        <v>653</v>
      </c>
      <c r="O149" s="6">
        <f>Table1[[#This Row],[Current coupon %]]*Table1[[#This Row],[Face value]]/Table1[[#This Row],[Ask Price]]</f>
        <v>0.10207939508506618</v>
      </c>
      <c r="P149" s="3"/>
      <c r="Q149" s="3" t="s">
        <v>22</v>
      </c>
      <c r="R149">
        <f t="shared" si="2"/>
        <v>3</v>
      </c>
      <c r="S149" s="22" cm="1">
        <f t="array" ref="S149">_xlfn.IFS(Table1[[#This Row],[Coupon frequency]]="Semi-annual",2,Table1[[#This Row],[Coupon frequency]]="Quarterly",4,Table1[[#This Row],[Coupon frequency]]="Annual",1,Table1[[#This Row],[Coupon frequency]]="Every 4 months",3,Table1[[#This Row],[Coupon frequency]]="Monthly",12)</f>
        <v>1</v>
      </c>
      <c r="T149">
        <f>Table1[[#This Row],[Term to Maturity (Years)]]*Table1[[#This Row],[Coupon Frequency2]]</f>
        <v>3</v>
      </c>
      <c r="U149">
        <f>Table1[[#This Row],[Face value]]*Table1[[#This Row],[Current coupon %]]/Table1[[#This Row],[Coupon Frequency2]]</f>
        <v>10800.000000000002</v>
      </c>
      <c r="V149" s="23">
        <f>RATE(Table1[[#This Row],[Total No. of Coupons]],Table1[[#This Row],[Coupon Amount]],-Table1[[#This Row],[Ask Price]],Table1[[#This Row],[Face value]])</f>
        <v>8.5279346764068523E-2</v>
      </c>
      <c r="W149" s="24">
        <f>Table1[[#This Row],[IRR]]*Table1[[#This Row],[Coupon Frequency2]]</f>
        <v>8.5279346764068523E-2</v>
      </c>
      <c r="X149" s="25" cm="1">
        <f t="array" ref="X1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49" s="26">
        <f>DURATION(Table1[[#This Row],[Issue date]],Table1[[#This Row],[Maturity date]],Table1[[#This Row],[Current coupon %]],Table1[[#This Row],[Yield (Annualised)]],Table1[[#This Row],[Coupon Frequency2]])</f>
        <v>2.2252164003728461</v>
      </c>
      <c r="Z149" s="26">
        <f>Table1[[#This Row],[Macaulay Duration in Years]]/(1+Table1[[#This Row],[IRR]])</f>
        <v>2.0503628001469667</v>
      </c>
      <c r="AA149" s="27">
        <f>VLOOKUP(Table1[[#This Row],[Yield Cluster]],'[1]Cluster Details'!$B$3:$C$16,2,0)</f>
        <v>7.8548801574189142E-2</v>
      </c>
      <c r="AB149" s="28">
        <f>PRICE(Table1[[#This Row],[Issue date]],Table1[[#This Row],[Maturity date]],Table1[[#This Row],[Current coupon %]],Table1[[#This Row],[Average Cluster Yield]],100,Table1[[#This Row],[Coupon Frequency2]])*Table1[[#This Row],[Face value]]/100</f>
        <v>106356.20220974804</v>
      </c>
      <c r="AC149" s="27" t="str">
        <f>IF(Table1[[#This Row],[Ask Price]]&gt;Table1[[#This Row],[Calculated Bond Price]],"Rich","Cheap")</f>
        <v>Cheap</v>
      </c>
      <c r="AD149" s="28">
        <f>PRICE(Table1[[#This Row],[Issue date]],Table1[[#This Row],[Maturity date]],Table1[[#This Row],[Current coupon %]],Table1[[#This Row],[Yield (Annualised)]]+$AE$2,100,Table1[[#This Row],[Coupon Frequency2]])*Table1[[#This Row],[Face value]]/100</f>
        <v>102594.01889584844</v>
      </c>
      <c r="AE149" s="28">
        <f>PRICE(Table1[[#This Row],[Issue date]],Table1[[#This Row],[Maturity date]],Table1[[#This Row],[Current coupon %]],Table1[[#This Row],[Yield (Annualised)]]-$AE$2,100,Table1[[#This Row],[Coupon Frequency2]])*Table1[[#This Row],[Face value]]/100</f>
        <v>107114.76241732002</v>
      </c>
      <c r="AF149" s="28">
        <f>(Table1[[#This Row],[P (+ shock)]]+Table1[[#This Row],[P (-shock)]]-2*Table1[[#This Row],[Ask Price]])/(2*Table1[[#This Row],[Ask Price]]*($AE$2^2))</f>
        <v>-89.37706459506299</v>
      </c>
    </row>
    <row r="150" spans="1:32" x14ac:dyDescent="0.25">
      <c r="A150" s="21" t="s">
        <v>382</v>
      </c>
      <c r="B150" s="3" t="s">
        <v>383</v>
      </c>
      <c r="C150" s="3" t="s">
        <v>19</v>
      </c>
      <c r="D150" s="4">
        <v>45551</v>
      </c>
      <c r="E150" s="4">
        <v>46281</v>
      </c>
      <c r="F150" s="3">
        <v>10000</v>
      </c>
      <c r="G150" s="3" t="s">
        <v>20</v>
      </c>
      <c r="H150" s="3">
        <v>10192.379999999999</v>
      </c>
      <c r="I150" s="3" t="s">
        <v>20</v>
      </c>
      <c r="J150" s="3">
        <v>101.92379999999901</v>
      </c>
      <c r="K150" s="3">
        <v>120</v>
      </c>
      <c r="L150" s="5">
        <v>0.11650000000000001</v>
      </c>
      <c r="M150" s="3" t="s">
        <v>44</v>
      </c>
      <c r="N150" s="3">
        <v>364</v>
      </c>
      <c r="O150" s="6">
        <f>Table1[[#This Row],[Current coupon %]]*Table1[[#This Row],[Face value]]/Table1[[#This Row],[Ask Price]]</f>
        <v>0.11430107590180116</v>
      </c>
      <c r="P150" s="3"/>
      <c r="Q150" s="3" t="s">
        <v>22</v>
      </c>
      <c r="R150">
        <f t="shared" si="2"/>
        <v>2</v>
      </c>
      <c r="S150" s="22" cm="1">
        <f t="array" ref="S150">_xlfn.IFS(Table1[[#This Row],[Coupon frequency]]="Semi-annual",2,Table1[[#This Row],[Coupon frequency]]="Quarterly",4,Table1[[#This Row],[Coupon frequency]]="Annual",1,Table1[[#This Row],[Coupon frequency]]="Every 4 months",3,Table1[[#This Row],[Coupon frequency]]="Monthly",12)</f>
        <v>4</v>
      </c>
      <c r="T150">
        <f>Table1[[#This Row],[Term to Maturity (Years)]]*Table1[[#This Row],[Coupon Frequency2]]</f>
        <v>8</v>
      </c>
      <c r="U150">
        <f>Table1[[#This Row],[Face value]]*Table1[[#This Row],[Current coupon %]]/Table1[[#This Row],[Coupon Frequency2]]</f>
        <v>291.25</v>
      </c>
      <c r="V150" s="23">
        <f>RATE(Table1[[#This Row],[Total No. of Coupons]],Table1[[#This Row],[Coupon Amount]],-Table1[[#This Row],[Ask Price]],Table1[[#This Row],[Face value]])</f>
        <v>2.6425593478151242E-2</v>
      </c>
      <c r="W150" s="24">
        <f>Table1[[#This Row],[IRR]]*Table1[[#This Row],[Coupon Frequency2]]</f>
        <v>0.10570237391260497</v>
      </c>
      <c r="X150" s="25" cm="1">
        <f t="array" ref="X1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50" s="26">
        <f>DURATION(Table1[[#This Row],[Issue date]],Table1[[#This Row],[Maturity date]],Table1[[#This Row],[Current coupon %]],Table1[[#This Row],[Yield (Annualised)]],Table1[[#This Row],[Coupon Frequency2]])</f>
        <v>1.8148408318845872</v>
      </c>
      <c r="Z150" s="26">
        <f>Table1[[#This Row],[Macaulay Duration in Years]]/(1+Table1[[#This Row],[IRR]])</f>
        <v>1.7681172833335224</v>
      </c>
      <c r="AA150" s="27">
        <f>VLOOKUP(Table1[[#This Row],[Yield Cluster]],'[1]Cluster Details'!$B$3:$C$16,2,0)</f>
        <v>0.11069942689191503</v>
      </c>
      <c r="AB150" s="28">
        <f>PRICE(Table1[[#This Row],[Issue date]],Table1[[#This Row],[Maturity date]],Table1[[#This Row],[Current coupon %]],Table1[[#This Row],[Average Cluster Yield]],100,Table1[[#This Row],[Coupon Frequency2]])*Table1[[#This Row],[Face value]]/100</f>
        <v>10102.801474209213</v>
      </c>
      <c r="AC150" s="27" t="str">
        <f>IF(Table1[[#This Row],[Ask Price]]&gt;Table1[[#This Row],[Calculated Bond Price]],"Rich","Cheap")</f>
        <v>Rich</v>
      </c>
      <c r="AD150" s="28">
        <f>PRICE(Table1[[#This Row],[Issue date]],Table1[[#This Row],[Maturity date]],Table1[[#This Row],[Current coupon %]],Table1[[#This Row],[Yield (Annualised)]]+$AE$2,100,Table1[[#This Row],[Coupon Frequency2]])*Table1[[#This Row],[Face value]]/100</f>
        <v>10014.061383095781</v>
      </c>
      <c r="AE150" s="28">
        <f>PRICE(Table1[[#This Row],[Issue date]],Table1[[#This Row],[Maturity date]],Table1[[#This Row],[Current coupon %]],Table1[[#This Row],[Yield (Annualised)]]-$AE$2,100,Table1[[#This Row],[Coupon Frequency2]])*Table1[[#This Row],[Face value]]/100</f>
        <v>10374.518335829987</v>
      </c>
      <c r="AF150" s="28">
        <f>(Table1[[#This Row],[P (+ shock)]]+Table1[[#This Row],[P (-shock)]]-2*Table1[[#This Row],[Ask Price]])/(2*Table1[[#This Row],[Ask Price]]*($AE$2^2))</f>
        <v>1.8738110852273211</v>
      </c>
    </row>
    <row r="151" spans="1:32" x14ac:dyDescent="0.25">
      <c r="A151" s="21" t="s">
        <v>384</v>
      </c>
      <c r="B151" s="3" t="s">
        <v>385</v>
      </c>
      <c r="C151" s="3" t="s">
        <v>19</v>
      </c>
      <c r="D151" s="4">
        <v>45278</v>
      </c>
      <c r="E151" s="4">
        <v>46009</v>
      </c>
      <c r="F151" s="3">
        <v>100000</v>
      </c>
      <c r="G151" s="3" t="s">
        <v>20</v>
      </c>
      <c r="H151" s="3">
        <v>99055.55</v>
      </c>
      <c r="I151" s="3" t="s">
        <v>20</v>
      </c>
      <c r="J151" s="3">
        <v>99.055549999999997</v>
      </c>
      <c r="K151" s="3">
        <v>2</v>
      </c>
      <c r="L151" s="5">
        <v>0.1011</v>
      </c>
      <c r="M151" s="3" t="s">
        <v>44</v>
      </c>
      <c r="N151" s="3">
        <v>92</v>
      </c>
      <c r="O151" s="6">
        <f>Table1[[#This Row],[Current coupon %]]*Table1[[#This Row],[Face value]]/Table1[[#This Row],[Ask Price]]</f>
        <v>0.10206394290880218</v>
      </c>
      <c r="P151" s="3"/>
      <c r="Q151" s="3" t="s">
        <v>22</v>
      </c>
      <c r="R151">
        <f t="shared" si="2"/>
        <v>2</v>
      </c>
      <c r="S151" s="22" cm="1">
        <f t="array" ref="S151">_xlfn.IFS(Table1[[#This Row],[Coupon frequency]]="Semi-annual",2,Table1[[#This Row],[Coupon frequency]]="Quarterly",4,Table1[[#This Row],[Coupon frequency]]="Annual",1,Table1[[#This Row],[Coupon frequency]]="Every 4 months",3,Table1[[#This Row],[Coupon frequency]]="Monthly",12)</f>
        <v>4</v>
      </c>
      <c r="T151">
        <f>Table1[[#This Row],[Term to Maturity (Years)]]*Table1[[#This Row],[Coupon Frequency2]]</f>
        <v>8</v>
      </c>
      <c r="U151">
        <f>Table1[[#This Row],[Face value]]*Table1[[#This Row],[Current coupon %]]/Table1[[#This Row],[Coupon Frequency2]]</f>
        <v>2527.5</v>
      </c>
      <c r="V151" s="23">
        <f>RATE(Table1[[#This Row],[Total No. of Coupons]],Table1[[#This Row],[Coupon Amount]],-Table1[[#This Row],[Ask Price]],Table1[[#This Row],[Face value]])</f>
        <v>2.660120751970434E-2</v>
      </c>
      <c r="W151" s="24">
        <f>Table1[[#This Row],[IRR]]*Table1[[#This Row],[Coupon Frequency2]]</f>
        <v>0.10640483007881736</v>
      </c>
      <c r="X151" s="25" cm="1">
        <f t="array" ref="X1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51" s="26">
        <f>DURATION(Table1[[#This Row],[Issue date]],Table1[[#This Row],[Maturity date]],Table1[[#This Row],[Current coupon %]],Table1[[#This Row],[Yield (Annualised)]],Table1[[#This Row],[Coupon Frequency2]])</f>
        <v>1.8347467137752225</v>
      </c>
      <c r="Z151" s="26">
        <f>Table1[[#This Row],[Macaulay Duration in Years]]/(1+Table1[[#This Row],[IRR]])</f>
        <v>1.7872049052114589</v>
      </c>
      <c r="AA151" s="27">
        <f>VLOOKUP(Table1[[#This Row],[Yield Cluster]],'[1]Cluster Details'!$B$3:$C$16,2,0)</f>
        <v>0.11069942689191503</v>
      </c>
      <c r="AB151" s="28">
        <f>PRICE(Table1[[#This Row],[Issue date]],Table1[[#This Row],[Maturity date]],Table1[[#This Row],[Current coupon %]],Table1[[#This Row],[Average Cluster Yield]],100,Table1[[#This Row],[Coupon Frequency2]])*Table1[[#This Row],[Face value]]/100</f>
        <v>98298.728043480834</v>
      </c>
      <c r="AC151" s="27" t="str">
        <f>IF(Table1[[#This Row],[Ask Price]]&gt;Table1[[#This Row],[Calculated Bond Price]],"Rich","Cheap")</f>
        <v>Rich</v>
      </c>
      <c r="AD151" s="28">
        <f>PRICE(Table1[[#This Row],[Issue date]],Table1[[#This Row],[Maturity date]],Table1[[#This Row],[Current coupon %]],Table1[[#This Row],[Yield (Annualised)]]+$AE$2,100,Table1[[#This Row],[Coupon Frequency2]])*Table1[[#This Row],[Face value]]/100</f>
        <v>97303.90747635538</v>
      </c>
      <c r="AE151" s="28">
        <f>PRICE(Table1[[#This Row],[Issue date]],Table1[[#This Row],[Maturity date]],Table1[[#This Row],[Current coupon %]],Table1[[#This Row],[Yield (Annualised)]]-$AE$2,100,Table1[[#This Row],[Coupon Frequency2]])*Table1[[#This Row],[Face value]]/100</f>
        <v>100844.85999772264</v>
      </c>
      <c r="AF151" s="28">
        <f>(Table1[[#This Row],[P (+ shock)]]+Table1[[#This Row],[P (-shock)]]-2*Table1[[#This Row],[Ask Price]])/(2*Table1[[#This Row],[Ask Price]]*($AE$2^2))</f>
        <v>1.9013308228571992</v>
      </c>
    </row>
    <row r="152" spans="1:32" x14ac:dyDescent="0.25">
      <c r="A152" s="21" t="s">
        <v>386</v>
      </c>
      <c r="B152" s="3" t="s">
        <v>387</v>
      </c>
      <c r="C152" s="3" t="s">
        <v>19</v>
      </c>
      <c r="D152" s="4">
        <v>45352</v>
      </c>
      <c r="E152" s="4">
        <v>47178</v>
      </c>
      <c r="F152" s="3">
        <v>1000</v>
      </c>
      <c r="G152" s="3" t="s">
        <v>20</v>
      </c>
      <c r="H152" s="3">
        <v>1029</v>
      </c>
      <c r="I152" s="3" t="s">
        <v>20</v>
      </c>
      <c r="J152" s="3">
        <v>102.899999999999</v>
      </c>
      <c r="K152" s="3">
        <v>24</v>
      </c>
      <c r="L152" s="5">
        <v>0.105</v>
      </c>
      <c r="M152" s="3" t="s">
        <v>21</v>
      </c>
      <c r="N152" s="3">
        <v>1261</v>
      </c>
      <c r="O152" s="6">
        <f>Table1[[#This Row],[Current coupon %]]*Table1[[#This Row],[Face value]]/Table1[[#This Row],[Ask Price]]</f>
        <v>0.10204081632653061</v>
      </c>
      <c r="P152" s="3"/>
      <c r="Q152" s="3" t="s">
        <v>22</v>
      </c>
      <c r="R152">
        <f t="shared" si="2"/>
        <v>5</v>
      </c>
      <c r="S152" s="22" cm="1">
        <f t="array" ref="S152">_xlfn.IFS(Table1[[#This Row],[Coupon frequency]]="Semi-annual",2,Table1[[#This Row],[Coupon frequency]]="Quarterly",4,Table1[[#This Row],[Coupon frequency]]="Annual",1,Table1[[#This Row],[Coupon frequency]]="Every 4 months",3,Table1[[#This Row],[Coupon frequency]]="Monthly",12)</f>
        <v>1</v>
      </c>
      <c r="T152">
        <f>Table1[[#This Row],[Term to Maturity (Years)]]*Table1[[#This Row],[Coupon Frequency2]]</f>
        <v>5</v>
      </c>
      <c r="U152">
        <f>Table1[[#This Row],[Face value]]*Table1[[#This Row],[Current coupon %]]/Table1[[#This Row],[Coupon Frequency2]]</f>
        <v>105</v>
      </c>
      <c r="V152" s="23">
        <f>RATE(Table1[[#This Row],[Total No. of Coupons]],Table1[[#This Row],[Coupon Amount]],-Table1[[#This Row],[Ask Price]],Table1[[#This Row],[Face value]])</f>
        <v>9.7400607676749712E-2</v>
      </c>
      <c r="W152" s="24">
        <f>Table1[[#This Row],[IRR]]*Table1[[#This Row],[Coupon Frequency2]]</f>
        <v>9.7400607676749712E-2</v>
      </c>
      <c r="X152" s="25" cm="1">
        <f t="array" ref="X1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52" s="26">
        <f>DURATION(Table1[[#This Row],[Issue date]],Table1[[#This Row],[Maturity date]],Table1[[#This Row],[Current coupon %]],Table1[[#This Row],[Yield (Annualised)]],Table1[[#This Row],[Coupon Frequency2]])</f>
        <v>4.1490902225167208</v>
      </c>
      <c r="Z152" s="26">
        <f>Table1[[#This Row],[Macaulay Duration in Years]]/(1+Table1[[#This Row],[IRR]])</f>
        <v>3.7808346318492987</v>
      </c>
      <c r="AA152" s="27">
        <f>VLOOKUP(Table1[[#This Row],[Yield Cluster]],'[1]Cluster Details'!$B$3:$C$16,2,0)</f>
        <v>7.8548801574189142E-2</v>
      </c>
      <c r="AB152" s="28">
        <f>PRICE(Table1[[#This Row],[Issue date]],Table1[[#This Row],[Maturity date]],Table1[[#This Row],[Current coupon %]],Table1[[#This Row],[Average Cluster Yield]],100,Table1[[#This Row],[Coupon Frequency2]])*Table1[[#This Row],[Face value]]/100</f>
        <v>1106.0171475719424</v>
      </c>
      <c r="AC152" s="27" t="str">
        <f>IF(Table1[[#This Row],[Ask Price]]&gt;Table1[[#This Row],[Calculated Bond Price]],"Rich","Cheap")</f>
        <v>Cheap</v>
      </c>
      <c r="AD152" s="28">
        <f>PRICE(Table1[[#This Row],[Issue date]],Table1[[#This Row],[Maturity date]],Table1[[#This Row],[Current coupon %]],Table1[[#This Row],[Yield (Annualised)]]+$AE$2,100,Table1[[#This Row],[Coupon Frequency2]])*Table1[[#This Row],[Face value]]/100</f>
        <v>991.06927855476488</v>
      </c>
      <c r="AE152" s="28">
        <f>PRICE(Table1[[#This Row],[Issue date]],Table1[[#This Row],[Maturity date]],Table1[[#This Row],[Current coupon %]],Table1[[#This Row],[Yield (Annualised)]]-$AE$2,100,Table1[[#This Row],[Coupon Frequency2]])*Table1[[#This Row],[Face value]]/100</f>
        <v>1068.9197070649684</v>
      </c>
      <c r="AF152" s="28">
        <f>(Table1[[#This Row],[P (+ shock)]]+Table1[[#This Row],[P (-shock)]]-2*Table1[[#This Row],[Ask Price]])/(2*Table1[[#This Row],[Ask Price]]*($AE$2^2))</f>
        <v>9.6646531571102265</v>
      </c>
    </row>
    <row r="153" spans="1:32" x14ac:dyDescent="0.25">
      <c r="A153" s="21" t="s">
        <v>388</v>
      </c>
      <c r="B153" s="3" t="s">
        <v>389</v>
      </c>
      <c r="C153" s="3" t="s">
        <v>19</v>
      </c>
      <c r="D153" s="4">
        <v>44680</v>
      </c>
      <c r="E153" s="4">
        <v>48333</v>
      </c>
      <c r="F153" s="3">
        <v>1000</v>
      </c>
      <c r="G153" s="3" t="s">
        <v>20</v>
      </c>
      <c r="H153" s="3">
        <v>965.14</v>
      </c>
      <c r="I153" s="3" t="s">
        <v>20</v>
      </c>
      <c r="J153" s="3">
        <v>96.513999999999996</v>
      </c>
      <c r="K153" s="3">
        <v>230</v>
      </c>
      <c r="L153" s="5">
        <v>9.6999999999999989E-2</v>
      </c>
      <c r="M153" s="3" t="s">
        <v>21</v>
      </c>
      <c r="N153" s="3">
        <v>2416</v>
      </c>
      <c r="O153" s="6">
        <f>Table1[[#This Row],[Current coupon %]]*Table1[[#This Row],[Face value]]/Table1[[#This Row],[Ask Price]]</f>
        <v>0.10050355388855502</v>
      </c>
      <c r="P153" s="3"/>
      <c r="Q153" s="3" t="s">
        <v>22</v>
      </c>
      <c r="R153">
        <f t="shared" si="2"/>
        <v>10</v>
      </c>
      <c r="S153" s="22" cm="1">
        <f t="array" ref="S153">_xlfn.IFS(Table1[[#This Row],[Coupon frequency]]="Semi-annual",2,Table1[[#This Row],[Coupon frequency]]="Quarterly",4,Table1[[#This Row],[Coupon frequency]]="Annual",1,Table1[[#This Row],[Coupon frequency]]="Every 4 months",3,Table1[[#This Row],[Coupon frequency]]="Monthly",12)</f>
        <v>1</v>
      </c>
      <c r="T153">
        <f>Table1[[#This Row],[Term to Maturity (Years)]]*Table1[[#This Row],[Coupon Frequency2]]</f>
        <v>10</v>
      </c>
      <c r="U153">
        <f>Table1[[#This Row],[Face value]]*Table1[[#This Row],[Current coupon %]]/Table1[[#This Row],[Coupon Frequency2]]</f>
        <v>96.999999999999986</v>
      </c>
      <c r="V153" s="23">
        <f>RATE(Table1[[#This Row],[Total No. of Coupons]],Table1[[#This Row],[Coupon Amount]],-Table1[[#This Row],[Ask Price]],Table1[[#This Row],[Face value]])</f>
        <v>0.10274026015337459</v>
      </c>
      <c r="W153" s="24">
        <f>Table1[[#This Row],[IRR]]*Table1[[#This Row],[Coupon Frequency2]]</f>
        <v>0.10274026015337459</v>
      </c>
      <c r="X153" s="25" cm="1">
        <f t="array" ref="X1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53" s="26">
        <f>DURATION(Table1[[#This Row],[Issue date]],Table1[[#This Row],[Maturity date]],Table1[[#This Row],[Current coupon %]],Table1[[#This Row],[Yield (Annualised)]],Table1[[#This Row],[Coupon Frequency2]])</f>
        <v>6.7687380767222072</v>
      </c>
      <c r="Z153" s="26">
        <f>Table1[[#This Row],[Macaulay Duration in Years]]/(1+Table1[[#This Row],[IRR]])</f>
        <v>6.1381073325288558</v>
      </c>
      <c r="AA153" s="27">
        <f>VLOOKUP(Table1[[#This Row],[Yield Cluster]],'[1]Cluster Details'!$B$3:$C$16,2,0)</f>
        <v>0.11069942689191503</v>
      </c>
      <c r="AB153" s="28">
        <f>PRICE(Table1[[#This Row],[Issue date]],Table1[[#This Row],[Maturity date]],Table1[[#This Row],[Current coupon %]],Table1[[#This Row],[Average Cluster Yield]],100,Table1[[#This Row],[Coupon Frequency2]])*Table1[[#This Row],[Face value]]/100</f>
        <v>919.55696778026208</v>
      </c>
      <c r="AC153" s="27" t="str">
        <f>IF(Table1[[#This Row],[Ask Price]]&gt;Table1[[#This Row],[Calculated Bond Price]],"Rich","Cheap")</f>
        <v>Rich</v>
      </c>
      <c r="AD153" s="28">
        <f>PRICE(Table1[[#This Row],[Issue date]],Table1[[#This Row],[Maturity date]],Table1[[#This Row],[Current coupon %]],Table1[[#This Row],[Yield (Annualised)]]+$AE$2,100,Table1[[#This Row],[Coupon Frequency2]])*Table1[[#This Row],[Face value]]/100</f>
        <v>908.3575219741715</v>
      </c>
      <c r="AE153" s="28">
        <f>PRICE(Table1[[#This Row],[Issue date]],Table1[[#This Row],[Maturity date]],Table1[[#This Row],[Current coupon %]],Table1[[#This Row],[Yield (Annualised)]]-$AE$2,100,Table1[[#This Row],[Coupon Frequency2]])*Table1[[#This Row],[Face value]]/100</f>
        <v>1027.0108836767668</v>
      </c>
      <c r="AF153" s="28">
        <f>(Table1[[#This Row],[P (+ shock)]]+Table1[[#This Row],[P (-shock)]]-2*Table1[[#This Row],[Ask Price]])/(2*Table1[[#This Row],[Ask Price]]*($AE$2^2))</f>
        <v>26.360971729170299</v>
      </c>
    </row>
    <row r="154" spans="1:32" x14ac:dyDescent="0.25">
      <c r="A154" s="21" t="s">
        <v>390</v>
      </c>
      <c r="B154" s="3" t="s">
        <v>391</v>
      </c>
      <c r="C154" s="3" t="s">
        <v>19</v>
      </c>
      <c r="D154" s="4">
        <v>45681</v>
      </c>
      <c r="E154" s="4">
        <v>47507</v>
      </c>
      <c r="F154" s="3">
        <v>1000</v>
      </c>
      <c r="G154" s="3" t="s">
        <v>20</v>
      </c>
      <c r="H154" s="3">
        <v>1030</v>
      </c>
      <c r="I154" s="3" t="s">
        <v>20</v>
      </c>
      <c r="J154" s="3">
        <v>103</v>
      </c>
      <c r="K154" s="3">
        <v>7</v>
      </c>
      <c r="L154" s="5">
        <v>0.105</v>
      </c>
      <c r="M154" s="3" t="s">
        <v>21</v>
      </c>
      <c r="N154" s="3">
        <v>1590</v>
      </c>
      <c r="O154" s="6">
        <f>Table1[[#This Row],[Current coupon %]]*Table1[[#This Row],[Face value]]/Table1[[#This Row],[Ask Price]]</f>
        <v>0.10194174757281553</v>
      </c>
      <c r="P154" s="3"/>
      <c r="Q154" s="3" t="s">
        <v>22</v>
      </c>
      <c r="R154">
        <f t="shared" si="2"/>
        <v>5</v>
      </c>
      <c r="S154" s="22" cm="1">
        <f t="array" ref="S154">_xlfn.IFS(Table1[[#This Row],[Coupon frequency]]="Semi-annual",2,Table1[[#This Row],[Coupon frequency]]="Quarterly",4,Table1[[#This Row],[Coupon frequency]]="Annual",1,Table1[[#This Row],[Coupon frequency]]="Every 4 months",3,Table1[[#This Row],[Coupon frequency]]="Monthly",12)</f>
        <v>1</v>
      </c>
      <c r="T154">
        <f>Table1[[#This Row],[Term to Maturity (Years)]]*Table1[[#This Row],[Coupon Frequency2]]</f>
        <v>5</v>
      </c>
      <c r="U154">
        <f>Table1[[#This Row],[Face value]]*Table1[[#This Row],[Current coupon %]]/Table1[[#This Row],[Coupon Frequency2]]</f>
        <v>105</v>
      </c>
      <c r="V154" s="23">
        <f>RATE(Table1[[#This Row],[Total No. of Coupons]],Table1[[#This Row],[Coupon Amount]],-Table1[[#This Row],[Ask Price]],Table1[[#This Row],[Face value]])</f>
        <v>9.7143738598965024E-2</v>
      </c>
      <c r="W154" s="24">
        <f>Table1[[#This Row],[IRR]]*Table1[[#This Row],[Coupon Frequency2]]</f>
        <v>9.7143738598965024E-2</v>
      </c>
      <c r="X154" s="25" cm="1">
        <f t="array" ref="X1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54" s="26">
        <f>DURATION(Table1[[#This Row],[Issue date]],Table1[[#This Row],[Maturity date]],Table1[[#This Row],[Current coupon %]],Table1[[#This Row],[Yield (Annualised)]],Table1[[#This Row],[Coupon Frequency2]])</f>
        <v>4.1495361970607325</v>
      </c>
      <c r="Z154" s="26">
        <f>Table1[[#This Row],[Macaulay Duration in Years]]/(1+Table1[[#This Row],[IRR]])</f>
        <v>3.7821263076792686</v>
      </c>
      <c r="AA154" s="27">
        <f>VLOOKUP(Table1[[#This Row],[Yield Cluster]],'[1]Cluster Details'!$B$3:$C$16,2,0)</f>
        <v>7.8548801574189142E-2</v>
      </c>
      <c r="AB154" s="28">
        <f>PRICE(Table1[[#This Row],[Issue date]],Table1[[#This Row],[Maturity date]],Table1[[#This Row],[Current coupon %]],Table1[[#This Row],[Average Cluster Yield]],100,Table1[[#This Row],[Coupon Frequency2]])*Table1[[#This Row],[Face value]]/100</f>
        <v>1106.0171475719424</v>
      </c>
      <c r="AC154" s="27" t="str">
        <f>IF(Table1[[#This Row],[Ask Price]]&gt;Table1[[#This Row],[Calculated Bond Price]],"Rich","Cheap")</f>
        <v>Cheap</v>
      </c>
      <c r="AD154" s="28">
        <f>PRICE(Table1[[#This Row],[Issue date]],Table1[[#This Row],[Maturity date]],Table1[[#This Row],[Current coupon %]],Table1[[#This Row],[Yield (Annualised)]]+$AE$2,100,Table1[[#This Row],[Coupon Frequency2]])*Table1[[#This Row],[Face value]]/100</f>
        <v>992.01970422982743</v>
      </c>
      <c r="AE154" s="28">
        <f>PRICE(Table1[[#This Row],[Issue date]],Table1[[#This Row],[Maturity date]],Table1[[#This Row],[Current coupon %]],Table1[[#This Row],[Yield (Annualised)]]-$AE$2,100,Table1[[#This Row],[Coupon Frequency2]])*Table1[[#This Row],[Face value]]/100</f>
        <v>1069.9724329535159</v>
      </c>
      <c r="AF154" s="28">
        <f>(Table1[[#This Row],[P (+ shock)]]+Table1[[#This Row],[P (-shock)]]-2*Table1[[#This Row],[Ask Price]])/(2*Table1[[#This Row],[Ask Price]]*($AE$2^2))</f>
        <v>9.6705688511815637</v>
      </c>
    </row>
    <row r="155" spans="1:32" x14ac:dyDescent="0.25">
      <c r="A155" s="21" t="s">
        <v>392</v>
      </c>
      <c r="B155" s="3" t="s">
        <v>393</v>
      </c>
      <c r="C155" s="3" t="s">
        <v>19</v>
      </c>
      <c r="D155" s="4">
        <v>45771</v>
      </c>
      <c r="E155" s="4">
        <v>46319</v>
      </c>
      <c r="F155" s="3">
        <v>1000</v>
      </c>
      <c r="G155" s="3" t="s">
        <v>20</v>
      </c>
      <c r="H155" s="3">
        <v>1019.8</v>
      </c>
      <c r="I155" s="3" t="s">
        <v>20</v>
      </c>
      <c r="J155" s="3">
        <v>101.98</v>
      </c>
      <c r="K155" s="3">
        <v>10</v>
      </c>
      <c r="L155" s="5">
        <v>0.10390000000000001</v>
      </c>
      <c r="M155" s="3" t="s">
        <v>21</v>
      </c>
      <c r="N155" s="3">
        <v>402</v>
      </c>
      <c r="O155" s="6">
        <f>Table1[[#This Row],[Current coupon %]]*Table1[[#This Row],[Face value]]/Table1[[#This Row],[Ask Price]]</f>
        <v>0.10188272210237302</v>
      </c>
      <c r="P155" s="3"/>
      <c r="Q155" s="3" t="s">
        <v>22</v>
      </c>
      <c r="R155">
        <f t="shared" si="2"/>
        <v>2</v>
      </c>
      <c r="S155" s="22" cm="1">
        <f t="array" ref="S155">_xlfn.IFS(Table1[[#This Row],[Coupon frequency]]="Semi-annual",2,Table1[[#This Row],[Coupon frequency]]="Quarterly",4,Table1[[#This Row],[Coupon frequency]]="Annual",1,Table1[[#This Row],[Coupon frequency]]="Every 4 months",3,Table1[[#This Row],[Coupon frequency]]="Monthly",12)</f>
        <v>1</v>
      </c>
      <c r="T155">
        <f>Table1[[#This Row],[Term to Maturity (Years)]]*Table1[[#This Row],[Coupon Frequency2]]</f>
        <v>2</v>
      </c>
      <c r="U155">
        <f>Table1[[#This Row],[Face value]]*Table1[[#This Row],[Current coupon %]]/Table1[[#This Row],[Coupon Frequency2]]</f>
        <v>103.9</v>
      </c>
      <c r="V155" s="23">
        <f>RATE(Table1[[#This Row],[Total No. of Coupons]],Table1[[#This Row],[Coupon Amount]],-Table1[[#This Row],[Ask Price]],Table1[[#This Row],[Face value]])</f>
        <v>9.2604537268623235E-2</v>
      </c>
      <c r="W155" s="24">
        <f>Table1[[#This Row],[IRR]]*Table1[[#This Row],[Coupon Frequency2]]</f>
        <v>9.2604537268623235E-2</v>
      </c>
      <c r="X155" s="25" cm="1">
        <f t="array" ref="X1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55" s="26">
        <f>DURATION(Table1[[#This Row],[Issue date]],Table1[[#This Row],[Maturity date]],Table1[[#This Row],[Current coupon %]],Table1[[#This Row],[Yield (Annualised)]],Table1[[#This Row],[Coupon Frequency2]])</f>
        <v>1.4067524263105595</v>
      </c>
      <c r="Z155" s="26">
        <f>Table1[[#This Row],[Macaulay Duration in Years]]/(1+Table1[[#This Row],[IRR]])</f>
        <v>1.2875220432703558</v>
      </c>
      <c r="AA155" s="27">
        <f>VLOOKUP(Table1[[#This Row],[Yield Cluster]],'[1]Cluster Details'!$B$3:$C$16,2,0)</f>
        <v>7.8548801574189142E-2</v>
      </c>
      <c r="AB155" s="28">
        <f>PRICE(Table1[[#This Row],[Issue date]],Table1[[#This Row],[Maturity date]],Table1[[#This Row],[Current coupon %]],Table1[[#This Row],[Average Cluster Yield]],100,Table1[[#This Row],[Coupon Frequency2]])*Table1[[#This Row],[Face value]]/100</f>
        <v>1033.6254760066224</v>
      </c>
      <c r="AC155" s="27" t="str">
        <f>IF(Table1[[#This Row],[Ask Price]]&gt;Table1[[#This Row],[Calculated Bond Price]],"Rich","Cheap")</f>
        <v>Cheap</v>
      </c>
      <c r="AD155" s="28">
        <f>PRICE(Table1[[#This Row],[Issue date]],Table1[[#This Row],[Maturity date]],Table1[[#This Row],[Current coupon %]],Table1[[#This Row],[Yield (Annualised)]]+$AE$2,100,Table1[[#This Row],[Coupon Frequency2]])*Table1[[#This Row],[Face value]]/100</f>
        <v>1000.452404284778</v>
      </c>
      <c r="AE155" s="28">
        <f>PRICE(Table1[[#This Row],[Issue date]],Table1[[#This Row],[Maturity date]],Table1[[#This Row],[Current coupon %]],Table1[[#This Row],[Yield (Annualised)]]-$AE$2,100,Table1[[#This Row],[Coupon Frequency2]])*Table1[[#This Row],[Face value]]/100</f>
        <v>1027.9049881812543</v>
      </c>
      <c r="AF155" s="28">
        <f>(Table1[[#This Row],[P (+ shock)]]+Table1[[#This Row],[P (-shock)]]-2*Table1[[#This Row],[Ask Price]])/(2*Table1[[#This Row],[Ask Price]]*($AE$2^2))</f>
        <v>-55.121629407568427</v>
      </c>
    </row>
    <row r="156" spans="1:32" x14ac:dyDescent="0.25">
      <c r="A156" s="21" t="s">
        <v>394</v>
      </c>
      <c r="B156" s="3" t="s">
        <v>395</v>
      </c>
      <c r="C156" s="3" t="s">
        <v>19</v>
      </c>
      <c r="D156" s="4">
        <v>45589</v>
      </c>
      <c r="E156" s="4">
        <v>49241</v>
      </c>
      <c r="F156" s="3">
        <v>1000</v>
      </c>
      <c r="G156" s="3" t="s">
        <v>20</v>
      </c>
      <c r="H156" s="3">
        <v>1079.81</v>
      </c>
      <c r="I156" s="3" t="s">
        <v>20</v>
      </c>
      <c r="J156" s="3">
        <v>107.98099999999999</v>
      </c>
      <c r="K156" s="3">
        <v>9</v>
      </c>
      <c r="L156" s="5">
        <v>0.11</v>
      </c>
      <c r="M156" s="3" t="s">
        <v>21</v>
      </c>
      <c r="N156" s="3">
        <v>3324</v>
      </c>
      <c r="O156" s="6">
        <f>Table1[[#This Row],[Current coupon %]]*Table1[[#This Row],[Face value]]/Table1[[#This Row],[Ask Price]]</f>
        <v>0.10186977338605867</v>
      </c>
      <c r="P156" s="3"/>
      <c r="Q156" s="3" t="s">
        <v>22</v>
      </c>
      <c r="R156">
        <f t="shared" si="2"/>
        <v>10</v>
      </c>
      <c r="S156" s="22" cm="1">
        <f t="array" ref="S156">_xlfn.IFS(Table1[[#This Row],[Coupon frequency]]="Semi-annual",2,Table1[[#This Row],[Coupon frequency]]="Quarterly",4,Table1[[#This Row],[Coupon frequency]]="Annual",1,Table1[[#This Row],[Coupon frequency]]="Every 4 months",3,Table1[[#This Row],[Coupon frequency]]="Monthly",12)</f>
        <v>1</v>
      </c>
      <c r="T156">
        <f>Table1[[#This Row],[Term to Maturity (Years)]]*Table1[[#This Row],[Coupon Frequency2]]</f>
        <v>10</v>
      </c>
      <c r="U156">
        <f>Table1[[#This Row],[Face value]]*Table1[[#This Row],[Current coupon %]]/Table1[[#This Row],[Coupon Frequency2]]</f>
        <v>110</v>
      </c>
      <c r="V156" s="23">
        <f>RATE(Table1[[#This Row],[Total No. of Coupons]],Table1[[#This Row],[Coupon Amount]],-Table1[[#This Row],[Ask Price]],Table1[[#This Row],[Face value]])</f>
        <v>9.716884314329903E-2</v>
      </c>
      <c r="W156" s="24">
        <f>Table1[[#This Row],[IRR]]*Table1[[#This Row],[Coupon Frequency2]]</f>
        <v>9.716884314329903E-2</v>
      </c>
      <c r="X156" s="25" cm="1">
        <f t="array" ref="X1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56" s="26">
        <f>DURATION(Table1[[#This Row],[Issue date]],Table1[[#This Row],[Maturity date]],Table1[[#This Row],[Current coupon %]],Table1[[#This Row],[Yield (Annualised)]],Table1[[#This Row],[Coupon Frequency2]])</f>
        <v>6.6707757369767977</v>
      </c>
      <c r="Z156" s="26">
        <f>Table1[[#This Row],[Macaulay Duration in Years]]/(1+Table1[[#This Row],[IRR]])</f>
        <v>6.0799901297466397</v>
      </c>
      <c r="AA156" s="27">
        <f>VLOOKUP(Table1[[#This Row],[Yield Cluster]],'[1]Cluster Details'!$B$3:$C$16,2,0)</f>
        <v>7.8548801574189142E-2</v>
      </c>
      <c r="AB156" s="28">
        <f>PRICE(Table1[[#This Row],[Issue date]],Table1[[#This Row],[Maturity date]],Table1[[#This Row],[Current coupon %]],Table1[[#This Row],[Average Cluster Yield]],100,Table1[[#This Row],[Coupon Frequency2]])*Table1[[#This Row],[Face value]]/100</f>
        <v>1212.4284890293766</v>
      </c>
      <c r="AC156" s="27" t="str">
        <f>IF(Table1[[#This Row],[Ask Price]]&gt;Table1[[#This Row],[Calculated Bond Price]],"Rich","Cheap")</f>
        <v>Cheap</v>
      </c>
      <c r="AD156" s="28">
        <f>PRICE(Table1[[#This Row],[Issue date]],Table1[[#This Row],[Maturity date]],Table1[[#This Row],[Current coupon %]],Table1[[#This Row],[Yield (Annualised)]]+$AE$2,100,Table1[[#This Row],[Coupon Frequency2]])*Table1[[#This Row],[Face value]]/100</f>
        <v>1016.8731432263806</v>
      </c>
      <c r="AE156" s="28">
        <f>PRICE(Table1[[#This Row],[Issue date]],Table1[[#This Row],[Maturity date]],Table1[[#This Row],[Current coupon %]],Table1[[#This Row],[Yield (Annualised)]]-$AE$2,100,Table1[[#This Row],[Coupon Frequency2]])*Table1[[#This Row],[Face value]]/100</f>
        <v>1148.3662883831441</v>
      </c>
      <c r="AF156" s="28">
        <f>(Table1[[#This Row],[P (+ shock)]]+Table1[[#This Row],[P (-shock)]]-2*Table1[[#This Row],[Ask Price]])/(2*Table1[[#This Row],[Ask Price]]*($AE$2^2))</f>
        <v>26.02046475548838</v>
      </c>
    </row>
    <row r="157" spans="1:32" x14ac:dyDescent="0.25">
      <c r="A157" s="21" t="s">
        <v>396</v>
      </c>
      <c r="B157" s="3" t="s">
        <v>397</v>
      </c>
      <c r="C157" s="3" t="s">
        <v>19</v>
      </c>
      <c r="D157" s="4">
        <v>44411</v>
      </c>
      <c r="E157" s="4">
        <v>47060</v>
      </c>
      <c r="F157" s="3">
        <v>1000</v>
      </c>
      <c r="G157" s="3" t="s">
        <v>20</v>
      </c>
      <c r="H157" s="3">
        <v>982.21</v>
      </c>
      <c r="I157" s="3" t="s">
        <v>20</v>
      </c>
      <c r="J157" s="3">
        <v>98.221000000000004</v>
      </c>
      <c r="K157" s="3">
        <v>50</v>
      </c>
      <c r="L157" s="5">
        <v>0.1</v>
      </c>
      <c r="M157" s="3" t="s">
        <v>21</v>
      </c>
      <c r="N157" s="3">
        <v>1143</v>
      </c>
      <c r="O157" s="6">
        <f>Table1[[#This Row],[Current coupon %]]*Table1[[#This Row],[Face value]]/Table1[[#This Row],[Ask Price]]</f>
        <v>0.10181122163284836</v>
      </c>
      <c r="P157" s="3"/>
      <c r="Q157" s="3" t="s">
        <v>22</v>
      </c>
      <c r="R157">
        <f t="shared" si="2"/>
        <v>7</v>
      </c>
      <c r="S157" s="22" cm="1">
        <f t="array" ref="S157">_xlfn.IFS(Table1[[#This Row],[Coupon frequency]]="Semi-annual",2,Table1[[#This Row],[Coupon frequency]]="Quarterly",4,Table1[[#This Row],[Coupon frequency]]="Annual",1,Table1[[#This Row],[Coupon frequency]]="Every 4 months",3,Table1[[#This Row],[Coupon frequency]]="Monthly",12)</f>
        <v>1</v>
      </c>
      <c r="T157">
        <f>Table1[[#This Row],[Term to Maturity (Years)]]*Table1[[#This Row],[Coupon Frequency2]]</f>
        <v>7</v>
      </c>
      <c r="U157">
        <f>Table1[[#This Row],[Face value]]*Table1[[#This Row],[Current coupon %]]/Table1[[#This Row],[Coupon Frequency2]]</f>
        <v>100</v>
      </c>
      <c r="V157" s="23">
        <f>RATE(Table1[[#This Row],[Total No. of Coupons]],Table1[[#This Row],[Coupon Amount]],-Table1[[#This Row],[Ask Price]],Table1[[#This Row],[Face value]])</f>
        <v>0.10369877845779317</v>
      </c>
      <c r="W157" s="24">
        <f>Table1[[#This Row],[IRR]]*Table1[[#This Row],[Coupon Frequency2]]</f>
        <v>0.10369877845779317</v>
      </c>
      <c r="X157" s="25" cm="1">
        <f t="array" ref="X1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57" s="26">
        <f>DURATION(Table1[[#This Row],[Issue date]],Table1[[#This Row],[Maturity date]],Table1[[#This Row],[Current coupon %]],Table1[[#This Row],[Yield (Annualised)]],Table1[[#This Row],[Coupon Frequency2]])</f>
        <v>5.0958805976892858</v>
      </c>
      <c r="Z157" s="26">
        <f>Table1[[#This Row],[Macaulay Duration in Years]]/(1+Table1[[#This Row],[IRR]])</f>
        <v>4.6170936283990445</v>
      </c>
      <c r="AA157" s="27">
        <f>VLOOKUP(Table1[[#This Row],[Yield Cluster]],'[1]Cluster Details'!$B$3:$C$16,2,0)</f>
        <v>0.11069942689191503</v>
      </c>
      <c r="AB157" s="28">
        <f>PRICE(Table1[[#This Row],[Issue date]],Table1[[#This Row],[Maturity date]],Table1[[#This Row],[Current coupon %]],Table1[[#This Row],[Average Cluster Yield]],100,Table1[[#This Row],[Coupon Frequency2]])*Table1[[#This Row],[Face value]]/100</f>
        <v>947.50249530731378</v>
      </c>
      <c r="AC157" s="27" t="str">
        <f>IF(Table1[[#This Row],[Ask Price]]&gt;Table1[[#This Row],[Calculated Bond Price]],"Rich","Cheap")</f>
        <v>Rich</v>
      </c>
      <c r="AD157" s="28">
        <f>PRICE(Table1[[#This Row],[Issue date]],Table1[[#This Row],[Maturity date]],Table1[[#This Row],[Current coupon %]],Table1[[#This Row],[Yield (Annualised)]]+$AE$2,100,Table1[[#This Row],[Coupon Frequency2]])*Table1[[#This Row],[Face value]]/100</f>
        <v>933.688425728639</v>
      </c>
      <c r="AE157" s="28">
        <f>PRICE(Table1[[#This Row],[Issue date]],Table1[[#This Row],[Maturity date]],Table1[[#This Row],[Current coupon %]],Table1[[#This Row],[Yield (Annualised)]]-$AE$2,100,Table1[[#This Row],[Coupon Frequency2]])*Table1[[#This Row],[Face value]]/100</f>
        <v>1031.2736014149129</v>
      </c>
      <c r="AF157" s="28">
        <f>(Table1[[#This Row],[P (+ shock)]]+Table1[[#This Row],[P (-shock)]]-2*Table1[[#This Row],[Ask Price]])/(2*Table1[[#This Row],[Ask Price]]*($AE$2^2))</f>
        <v>2.7592222821589938</v>
      </c>
    </row>
    <row r="158" spans="1:32" x14ac:dyDescent="0.25">
      <c r="A158" s="21" t="s">
        <v>398</v>
      </c>
      <c r="B158" s="3" t="s">
        <v>399</v>
      </c>
      <c r="C158" s="3" t="s">
        <v>19</v>
      </c>
      <c r="D158" s="4">
        <v>45407</v>
      </c>
      <c r="E158" s="4">
        <v>46047</v>
      </c>
      <c r="F158" s="3">
        <v>100000</v>
      </c>
      <c r="G158" s="3" t="s">
        <v>20</v>
      </c>
      <c r="H158" s="3">
        <v>100363.45</v>
      </c>
      <c r="I158" s="3" t="s">
        <v>20</v>
      </c>
      <c r="J158" s="3">
        <v>100.36345</v>
      </c>
      <c r="K158" s="3">
        <v>5</v>
      </c>
      <c r="L158" s="5">
        <v>0.10199999999999999</v>
      </c>
      <c r="M158" s="3" t="s">
        <v>44</v>
      </c>
      <c r="N158" s="3">
        <v>130</v>
      </c>
      <c r="O158" s="6">
        <f>Table1[[#This Row],[Current coupon %]]*Table1[[#This Row],[Face value]]/Table1[[#This Row],[Ask Price]]</f>
        <v>0.10163062349889328</v>
      </c>
      <c r="P158" s="3"/>
      <c r="Q158" s="3" t="s">
        <v>22</v>
      </c>
      <c r="R158">
        <f t="shared" si="2"/>
        <v>2</v>
      </c>
      <c r="S158" s="22" cm="1">
        <f t="array" ref="S158">_xlfn.IFS(Table1[[#This Row],[Coupon frequency]]="Semi-annual",2,Table1[[#This Row],[Coupon frequency]]="Quarterly",4,Table1[[#This Row],[Coupon frequency]]="Annual",1,Table1[[#This Row],[Coupon frequency]]="Every 4 months",3,Table1[[#This Row],[Coupon frequency]]="Monthly",12)</f>
        <v>4</v>
      </c>
      <c r="T158">
        <f>Table1[[#This Row],[Term to Maturity (Years)]]*Table1[[#This Row],[Coupon Frequency2]]</f>
        <v>8</v>
      </c>
      <c r="U158">
        <f>Table1[[#This Row],[Face value]]*Table1[[#This Row],[Current coupon %]]/Table1[[#This Row],[Coupon Frequency2]]</f>
        <v>2550</v>
      </c>
      <c r="V158" s="23">
        <f>RATE(Table1[[#This Row],[Total No. of Coupons]],Table1[[#This Row],[Coupon Amount]],-Table1[[#This Row],[Ask Price]],Table1[[#This Row],[Face value]])</f>
        <v>2.4993120799652269E-2</v>
      </c>
      <c r="W158" s="24">
        <f>Table1[[#This Row],[IRR]]*Table1[[#This Row],[Coupon Frequency2]]</f>
        <v>9.9972483198609075E-2</v>
      </c>
      <c r="X158" s="25" cm="1">
        <f t="array" ref="X1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58" s="26">
        <f>DURATION(Table1[[#This Row],[Issue date]],Table1[[#This Row],[Maturity date]],Table1[[#This Row],[Current coupon %]],Table1[[#This Row],[Yield (Annualised)]],Table1[[#This Row],[Coupon Frequency2]])</f>
        <v>1.6249721649347382</v>
      </c>
      <c r="Z158" s="26">
        <f>Table1[[#This Row],[Macaulay Duration in Years]]/(1+Table1[[#This Row],[IRR]])</f>
        <v>1.5853493374345868</v>
      </c>
      <c r="AA158" s="27">
        <f>VLOOKUP(Table1[[#This Row],[Yield Cluster]],'[1]Cluster Details'!$B$3:$C$16,2,0)</f>
        <v>7.8548801574189142E-2</v>
      </c>
      <c r="AB158" s="28">
        <f>PRICE(Table1[[#This Row],[Issue date]],Table1[[#This Row],[Maturity date]],Table1[[#This Row],[Current coupon %]],Table1[[#This Row],[Average Cluster Yield]],100,Table1[[#This Row],[Coupon Frequency2]])*Table1[[#This Row],[Face value]]/100</f>
        <v>103799.69585188145</v>
      </c>
      <c r="AC158" s="27" t="str">
        <f>IF(Table1[[#This Row],[Ask Price]]&gt;Table1[[#This Row],[Calculated Bond Price]],"Rich","Cheap")</f>
        <v>Cheap</v>
      </c>
      <c r="AD158" s="28">
        <f>PRICE(Table1[[#This Row],[Issue date]],Table1[[#This Row],[Maturity date]],Table1[[#This Row],[Current coupon %]],Table1[[#This Row],[Yield (Annualised)]]+$AE$2,100,Table1[[#This Row],[Coupon Frequency2]])*Table1[[#This Row],[Face value]]/100</f>
        <v>98746.412337448986</v>
      </c>
      <c r="AE158" s="28">
        <f>PRICE(Table1[[#This Row],[Issue date]],Table1[[#This Row],[Maturity date]],Table1[[#This Row],[Current coupon %]],Table1[[#This Row],[Yield (Annualised)]]-$AE$2,100,Table1[[#This Row],[Coupon Frequency2]])*Table1[[#This Row],[Face value]]/100</f>
        <v>101927.53433331224</v>
      </c>
      <c r="AF158" s="28">
        <f>(Table1[[#This Row],[P (+ shock)]]+Table1[[#This Row],[P (-shock)]]-2*Table1[[#This Row],[Ask Price]])/(2*Table1[[#This Row],[Ask Price]]*($AE$2^2))</f>
        <v>-2.6380783661172806</v>
      </c>
    </row>
    <row r="159" spans="1:32" x14ac:dyDescent="0.25">
      <c r="A159" s="21" t="s">
        <v>400</v>
      </c>
      <c r="B159" s="3" t="s">
        <v>401</v>
      </c>
      <c r="C159" s="3" t="s">
        <v>19</v>
      </c>
      <c r="D159" s="4">
        <v>45128</v>
      </c>
      <c r="E159" s="4">
        <v>46955</v>
      </c>
      <c r="F159" s="3">
        <v>1000</v>
      </c>
      <c r="G159" s="3" t="s">
        <v>20</v>
      </c>
      <c r="H159" s="3">
        <v>994.35</v>
      </c>
      <c r="I159" s="3" t="s">
        <v>20</v>
      </c>
      <c r="J159" s="3">
        <v>99.435000000000002</v>
      </c>
      <c r="K159" s="3">
        <v>27</v>
      </c>
      <c r="L159" s="5">
        <v>0.10099999999999999</v>
      </c>
      <c r="M159" s="3" t="s">
        <v>21</v>
      </c>
      <c r="N159" s="3">
        <v>1038</v>
      </c>
      <c r="O159" s="6">
        <f>Table1[[#This Row],[Current coupon %]]*Table1[[#This Row],[Face value]]/Table1[[#This Row],[Ask Price]]</f>
        <v>0.10157389249258308</v>
      </c>
      <c r="P159" s="3"/>
      <c r="Q159" s="3" t="s">
        <v>22</v>
      </c>
      <c r="R159">
        <f t="shared" si="2"/>
        <v>5</v>
      </c>
      <c r="S159" s="22" cm="1">
        <f t="array" ref="S159">_xlfn.IFS(Table1[[#This Row],[Coupon frequency]]="Semi-annual",2,Table1[[#This Row],[Coupon frequency]]="Quarterly",4,Table1[[#This Row],[Coupon frequency]]="Annual",1,Table1[[#This Row],[Coupon frequency]]="Every 4 months",3,Table1[[#This Row],[Coupon frequency]]="Monthly",12)</f>
        <v>1</v>
      </c>
      <c r="T159">
        <f>Table1[[#This Row],[Term to Maturity (Years)]]*Table1[[#This Row],[Coupon Frequency2]]</f>
        <v>5</v>
      </c>
      <c r="U159">
        <f>Table1[[#This Row],[Face value]]*Table1[[#This Row],[Current coupon %]]/Table1[[#This Row],[Coupon Frequency2]]</f>
        <v>100.99999999999999</v>
      </c>
      <c r="V159" s="23">
        <f>RATE(Table1[[#This Row],[Total No. of Coupons]],Table1[[#This Row],[Coupon Amount]],-Table1[[#This Row],[Ask Price]],Table1[[#This Row],[Face value]])</f>
        <v>0.10249998668872606</v>
      </c>
      <c r="W159" s="24">
        <f>Table1[[#This Row],[IRR]]*Table1[[#This Row],[Coupon Frequency2]]</f>
        <v>0.10249998668872606</v>
      </c>
      <c r="X159" s="25" cm="1">
        <f t="array" ref="X1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59" s="26">
        <f>DURATION(Table1[[#This Row],[Issue date]],Table1[[#This Row],[Maturity date]],Table1[[#This Row],[Current coupon %]],Table1[[#This Row],[Yield (Annualised)]],Table1[[#This Row],[Coupon Frequency2]])</f>
        <v>4.160441430030156</v>
      </c>
      <c r="Z159" s="26">
        <f>Table1[[#This Row],[Macaulay Duration in Years]]/(1+Table1[[#This Row],[IRR]])</f>
        <v>3.7736430659974167</v>
      </c>
      <c r="AA159" s="27">
        <f>VLOOKUP(Table1[[#This Row],[Yield Cluster]],'[1]Cluster Details'!$B$3:$C$16,2,0)</f>
        <v>0.11069942689191503</v>
      </c>
      <c r="AB159" s="28">
        <f>PRICE(Table1[[#This Row],[Issue date]],Table1[[#This Row],[Maturity date]],Table1[[#This Row],[Current coupon %]],Table1[[#This Row],[Average Cluster Yield]],100,Table1[[#This Row],[Coupon Frequency2]])*Table1[[#This Row],[Face value]]/100</f>
        <v>964.21490042396863</v>
      </c>
      <c r="AC159" s="27" t="str">
        <f>IF(Table1[[#This Row],[Ask Price]]&gt;Table1[[#This Row],[Calculated Bond Price]],"Rich","Cheap")</f>
        <v>Rich</v>
      </c>
      <c r="AD159" s="28">
        <f>PRICE(Table1[[#This Row],[Issue date]],Table1[[#This Row],[Maturity date]],Table1[[#This Row],[Current coupon %]],Table1[[#This Row],[Yield (Annualised)]]+$AE$2,100,Table1[[#This Row],[Coupon Frequency2]])*Table1[[#This Row],[Face value]]/100</f>
        <v>957.76317835781867</v>
      </c>
      <c r="AE159" s="28">
        <f>PRICE(Table1[[#This Row],[Issue date]],Table1[[#This Row],[Maturity date]],Table1[[#This Row],[Current coupon %]],Table1[[#This Row],[Yield (Annualised)]]-$AE$2,100,Table1[[#This Row],[Coupon Frequency2]])*Table1[[#This Row],[Face value]]/100</f>
        <v>1032.8487339156613</v>
      </c>
      <c r="AF159" s="28">
        <f>(Table1[[#This Row],[P (+ shock)]]+Table1[[#This Row],[P (-shock)]]-2*Table1[[#This Row],[Ask Price]])/(2*Table1[[#This Row],[Ask Price]]*($AE$2^2))</f>
        <v>9.6138797882026275</v>
      </c>
    </row>
    <row r="160" spans="1:32" x14ac:dyDescent="0.25">
      <c r="A160" s="21" t="s">
        <v>65</v>
      </c>
      <c r="B160" s="3" t="s">
        <v>66</v>
      </c>
      <c r="C160" s="3" t="s">
        <v>19</v>
      </c>
      <c r="D160" s="4">
        <v>45854</v>
      </c>
      <c r="E160" s="4">
        <v>46584</v>
      </c>
      <c r="F160" s="3">
        <v>1000</v>
      </c>
      <c r="G160" s="3" t="s">
        <v>20</v>
      </c>
      <c r="H160" s="3">
        <v>990</v>
      </c>
      <c r="I160" s="3" t="s">
        <v>20</v>
      </c>
      <c r="J160" s="3">
        <v>99</v>
      </c>
      <c r="K160" s="3">
        <v>50</v>
      </c>
      <c r="L160" s="5">
        <v>9.1999999999999998E-2</v>
      </c>
      <c r="M160" s="3" t="s">
        <v>21</v>
      </c>
      <c r="N160" s="3">
        <v>667</v>
      </c>
      <c r="O160" s="6">
        <f>Table1[[#This Row],[Current coupon %]]*Table1[[#This Row],[Face value]]/Table1[[#This Row],[Ask Price]]</f>
        <v>9.2929292929292931E-2</v>
      </c>
      <c r="P160" s="3"/>
      <c r="Q160" s="3" t="s">
        <v>22</v>
      </c>
      <c r="R160">
        <f t="shared" si="2"/>
        <v>2</v>
      </c>
      <c r="S160" s="22" cm="1">
        <f t="array" ref="S160">_xlfn.IFS(Table1[[#This Row],[Coupon frequency]]="Semi-annual",2,Table1[[#This Row],[Coupon frequency]]="Quarterly",4,Table1[[#This Row],[Coupon frequency]]="Annual",1,Table1[[#This Row],[Coupon frequency]]="Every 4 months",3,Table1[[#This Row],[Coupon frequency]]="Monthly",12)</f>
        <v>1</v>
      </c>
      <c r="T160">
        <f>Table1[[#This Row],[Term to Maturity (Years)]]*Table1[[#This Row],[Coupon Frequency2]]</f>
        <v>2</v>
      </c>
      <c r="U160">
        <f>Table1[[#This Row],[Face value]]*Table1[[#This Row],[Current coupon %]]/Table1[[#This Row],[Coupon Frequency2]]</f>
        <v>92</v>
      </c>
      <c r="V160" s="23">
        <f>RATE(Table1[[#This Row],[Total No. of Coupons]],Table1[[#This Row],[Coupon Amount]],-Table1[[#This Row],[Ask Price]],Table1[[#This Row],[Face value]])</f>
        <v>9.7744469538125961E-2</v>
      </c>
      <c r="W160" s="24">
        <f>Table1[[#This Row],[IRR]]*Table1[[#This Row],[Coupon Frequency2]]</f>
        <v>9.7744469538125961E-2</v>
      </c>
      <c r="X160" s="25" cm="1">
        <f t="array" ref="X1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60" s="26">
        <f>DURATION(Table1[[#This Row],[Issue date]],Table1[[#This Row],[Maturity date]],Table1[[#This Row],[Current coupon %]],Table1[[#This Row],[Yield (Annualised)]],Table1[[#This Row],[Coupon Frequency2]])</f>
        <v>1.9153452415311243</v>
      </c>
      <c r="Z160" s="26">
        <f>Table1[[#This Row],[Macaulay Duration in Years]]/(1+Table1[[#This Row],[IRR]])</f>
        <v>1.7448006295463301</v>
      </c>
      <c r="AA160" s="27">
        <f>VLOOKUP(Table1[[#This Row],[Yield Cluster]],'[1]Cluster Details'!$B$3:$C$16,2,0)</f>
        <v>7.8548801574189142E-2</v>
      </c>
      <c r="AB160" s="28">
        <f>PRICE(Table1[[#This Row],[Issue date]],Table1[[#This Row],[Maturity date]],Table1[[#This Row],[Current coupon %]],Table1[[#This Row],[Average Cluster Yield]],100,Table1[[#This Row],[Coupon Frequency2]])*Table1[[#This Row],[Face value]]/100</f>
        <v>1024.0348603825425</v>
      </c>
      <c r="AC160" s="27" t="str">
        <f>IF(Table1[[#This Row],[Ask Price]]&gt;Table1[[#This Row],[Calculated Bond Price]],"Rich","Cheap")</f>
        <v>Cheap</v>
      </c>
      <c r="AD160" s="28">
        <f>PRICE(Table1[[#This Row],[Issue date]],Table1[[#This Row],[Maturity date]],Table1[[#This Row],[Current coupon %]],Table1[[#This Row],[Yield (Annualised)]]+$AE$2,100,Table1[[#This Row],[Coupon Frequency2]])*Table1[[#This Row],[Face value]]/100</f>
        <v>972.95625635546241</v>
      </c>
      <c r="AE160" s="28">
        <f>PRICE(Table1[[#This Row],[Issue date]],Table1[[#This Row],[Maturity date]],Table1[[#This Row],[Current coupon %]],Table1[[#This Row],[Yield (Annualised)]]-$AE$2,100,Table1[[#This Row],[Coupon Frequency2]])*Table1[[#This Row],[Face value]]/100</f>
        <v>1007.5089165490784</v>
      </c>
      <c r="AF160" s="28">
        <f>(Table1[[#This Row],[P (+ shock)]]+Table1[[#This Row],[P (-shock)]]-2*Table1[[#This Row],[Ask Price]])/(2*Table1[[#This Row],[Ask Price]]*($AE$2^2))</f>
        <v>2.3493581037416673</v>
      </c>
    </row>
    <row r="161" spans="1:32" x14ac:dyDescent="0.25">
      <c r="A161" s="21" t="s">
        <v>402</v>
      </c>
      <c r="B161" s="3" t="s">
        <v>288</v>
      </c>
      <c r="C161" s="3" t="s">
        <v>19</v>
      </c>
      <c r="D161" s="4">
        <v>45411</v>
      </c>
      <c r="E161" s="4">
        <v>47237</v>
      </c>
      <c r="F161" s="3">
        <v>1000</v>
      </c>
      <c r="G161" s="3" t="s">
        <v>20</v>
      </c>
      <c r="H161" s="3">
        <v>995</v>
      </c>
      <c r="I161" s="3" t="s">
        <v>20</v>
      </c>
      <c r="J161" s="3">
        <v>99.5</v>
      </c>
      <c r="K161" s="3">
        <v>50</v>
      </c>
      <c r="L161" s="5">
        <v>0.10099999999999999</v>
      </c>
      <c r="M161" s="3" t="s">
        <v>21</v>
      </c>
      <c r="N161" s="3">
        <v>1320</v>
      </c>
      <c r="O161" s="6">
        <f>Table1[[#This Row],[Current coupon %]]*Table1[[#This Row],[Face value]]/Table1[[#This Row],[Ask Price]]</f>
        <v>0.1015075376884422</v>
      </c>
      <c r="P161" s="3"/>
      <c r="Q161" s="3" t="s">
        <v>22</v>
      </c>
      <c r="R161">
        <f t="shared" si="2"/>
        <v>5</v>
      </c>
      <c r="S161" s="22" cm="1">
        <f t="array" ref="S161">_xlfn.IFS(Table1[[#This Row],[Coupon frequency]]="Semi-annual",2,Table1[[#This Row],[Coupon frequency]]="Quarterly",4,Table1[[#This Row],[Coupon frequency]]="Annual",1,Table1[[#This Row],[Coupon frequency]]="Every 4 months",3,Table1[[#This Row],[Coupon frequency]]="Monthly",12)</f>
        <v>1</v>
      </c>
      <c r="T161">
        <f>Table1[[#This Row],[Term to Maturity (Years)]]*Table1[[#This Row],[Coupon Frequency2]]</f>
        <v>5</v>
      </c>
      <c r="U161">
        <f>Table1[[#This Row],[Face value]]*Table1[[#This Row],[Current coupon %]]/Table1[[#This Row],[Coupon Frequency2]]</f>
        <v>100.99999999999999</v>
      </c>
      <c r="V161" s="23">
        <f>RATE(Table1[[#This Row],[Total No. of Coupons]],Table1[[#This Row],[Coupon Amount]],-Table1[[#This Row],[Ask Price]],Table1[[#This Row],[Face value]])</f>
        <v>0.10232683699575428</v>
      </c>
      <c r="W161" s="24">
        <f>Table1[[#This Row],[IRR]]*Table1[[#This Row],[Coupon Frequency2]]</f>
        <v>0.10232683699575428</v>
      </c>
      <c r="X161" s="25" cm="1">
        <f t="array" ref="X1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61" s="26">
        <f>DURATION(Table1[[#This Row],[Issue date]],Table1[[#This Row],[Maturity date]],Table1[[#This Row],[Current coupon %]],Table1[[#This Row],[Yield (Annualised)]],Table1[[#This Row],[Coupon Frequency2]])</f>
        <v>4.1607387488823777</v>
      </c>
      <c r="Z161" s="26">
        <f>Table1[[#This Row],[Macaulay Duration in Years]]/(1+Table1[[#This Row],[IRR]])</f>
        <v>3.7745055361456319</v>
      </c>
      <c r="AA161" s="27">
        <f>VLOOKUP(Table1[[#This Row],[Yield Cluster]],'[1]Cluster Details'!$B$3:$C$16,2,0)</f>
        <v>0.11069942689191503</v>
      </c>
      <c r="AB161" s="28">
        <f>PRICE(Table1[[#This Row],[Issue date]],Table1[[#This Row],[Maturity date]],Table1[[#This Row],[Current coupon %]],Table1[[#This Row],[Average Cluster Yield]],100,Table1[[#This Row],[Coupon Frequency2]])*Table1[[#This Row],[Face value]]/100</f>
        <v>964.21490042396863</v>
      </c>
      <c r="AC161" s="27" t="str">
        <f>IF(Table1[[#This Row],[Ask Price]]&gt;Table1[[#This Row],[Calculated Bond Price]],"Rich","Cheap")</f>
        <v>Rich</v>
      </c>
      <c r="AD161" s="28">
        <f>PRICE(Table1[[#This Row],[Issue date]],Table1[[#This Row],[Maturity date]],Table1[[#This Row],[Current coupon %]],Table1[[#This Row],[Yield (Annualised)]]+$AE$2,100,Table1[[#This Row],[Coupon Frequency2]])*Table1[[#This Row],[Face value]]/100</f>
        <v>958.38106076095471</v>
      </c>
      <c r="AE161" s="28">
        <f>PRICE(Table1[[#This Row],[Issue date]],Table1[[#This Row],[Maturity date]],Table1[[#This Row],[Current coupon %]],Table1[[#This Row],[Yield (Annualised)]]-$AE$2,100,Table1[[#This Row],[Coupon Frequency2]])*Table1[[#This Row],[Face value]]/100</f>
        <v>1033.5328850239825</v>
      </c>
      <c r="AF161" s="28">
        <f>(Table1[[#This Row],[P (+ shock)]]+Table1[[#This Row],[P (-shock)]]-2*Table1[[#This Row],[Ask Price]])/(2*Table1[[#This Row],[Ask Price]]*($AE$2^2))</f>
        <v>9.6178180147606458</v>
      </c>
    </row>
    <row r="162" spans="1:32" x14ac:dyDescent="0.25">
      <c r="A162" s="21" t="s">
        <v>403</v>
      </c>
      <c r="B162" s="3" t="s">
        <v>404</v>
      </c>
      <c r="C162" s="3" t="s">
        <v>19</v>
      </c>
      <c r="D162" s="4">
        <v>45653</v>
      </c>
      <c r="E162" s="4">
        <v>47479</v>
      </c>
      <c r="F162" s="3">
        <v>1000</v>
      </c>
      <c r="G162" s="3" t="s">
        <v>20</v>
      </c>
      <c r="H162" s="3">
        <v>1000</v>
      </c>
      <c r="I162" s="3" t="s">
        <v>20</v>
      </c>
      <c r="J162" s="3">
        <v>100</v>
      </c>
      <c r="K162" s="3">
        <v>10</v>
      </c>
      <c r="L162" s="5">
        <v>0.10150000000000001</v>
      </c>
      <c r="M162" s="3" t="s">
        <v>21</v>
      </c>
      <c r="N162" s="3">
        <v>1562</v>
      </c>
      <c r="O162" s="6">
        <f>Table1[[#This Row],[Current coupon %]]*Table1[[#This Row],[Face value]]/Table1[[#This Row],[Ask Price]]</f>
        <v>0.10150000000000001</v>
      </c>
      <c r="P162" s="3" t="s">
        <v>25</v>
      </c>
      <c r="Q162" s="3" t="s">
        <v>22</v>
      </c>
      <c r="R162">
        <f t="shared" si="2"/>
        <v>5</v>
      </c>
      <c r="S162" s="22" cm="1">
        <f t="array" ref="S162">_xlfn.IFS(Table1[[#This Row],[Coupon frequency]]="Semi-annual",2,Table1[[#This Row],[Coupon frequency]]="Quarterly",4,Table1[[#This Row],[Coupon frequency]]="Annual",1,Table1[[#This Row],[Coupon frequency]]="Every 4 months",3,Table1[[#This Row],[Coupon frequency]]="Monthly",12)</f>
        <v>1</v>
      </c>
      <c r="T162">
        <f>Table1[[#This Row],[Term to Maturity (Years)]]*Table1[[#This Row],[Coupon Frequency2]]</f>
        <v>5</v>
      </c>
      <c r="U162">
        <f>Table1[[#This Row],[Face value]]*Table1[[#This Row],[Current coupon %]]/Table1[[#This Row],[Coupon Frequency2]]</f>
        <v>101.5</v>
      </c>
      <c r="V162" s="23">
        <f>RATE(Table1[[#This Row],[Total No. of Coupons]],Table1[[#This Row],[Coupon Amount]],-Table1[[#This Row],[Ask Price]],Table1[[#This Row],[Face value]])</f>
        <v>0.10149999999944202</v>
      </c>
      <c r="W162" s="24">
        <f>Table1[[#This Row],[IRR]]*Table1[[#This Row],[Coupon Frequency2]]</f>
        <v>0.10149999999944202</v>
      </c>
      <c r="X162" s="25" cm="1">
        <f t="array" ref="X1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62" s="26">
        <f>DURATION(Table1[[#This Row],[Issue date]],Table1[[#This Row],[Maturity date]],Table1[[#This Row],[Current coupon %]],Table1[[#This Row],[Yield (Annualised)]],Table1[[#This Row],[Coupon Frequency2]])</f>
        <v>4.1596000637009762</v>
      </c>
      <c r="Z162" s="26">
        <f>Table1[[#This Row],[Macaulay Duration in Years]]/(1+Table1[[#This Row],[IRR]])</f>
        <v>3.7763050964167806</v>
      </c>
      <c r="AA162" s="27">
        <f>VLOOKUP(Table1[[#This Row],[Yield Cluster]],'[1]Cluster Details'!$B$3:$C$16,2,0)</f>
        <v>0.11069942689191503</v>
      </c>
      <c r="AB162" s="28">
        <f>PRICE(Table1[[#This Row],[Issue date]],Table1[[#This Row],[Maturity date]],Table1[[#This Row],[Current coupon %]],Table1[[#This Row],[Average Cluster Yield]],100,Table1[[#This Row],[Coupon Frequency2]])*Table1[[#This Row],[Face value]]/100</f>
        <v>966.05960217670099</v>
      </c>
      <c r="AC162" s="27" t="str">
        <f>IF(Table1[[#This Row],[Ask Price]]&gt;Table1[[#This Row],[Calculated Bond Price]],"Rich","Cheap")</f>
        <v>Rich</v>
      </c>
      <c r="AD162" s="28">
        <f>PRICE(Table1[[#This Row],[Issue date]],Table1[[#This Row],[Maturity date]],Table1[[#This Row],[Current coupon %]],Table1[[#This Row],[Yield (Annualised)]]+$AE$2,100,Table1[[#This Row],[Coupon Frequency2]])*Table1[[#This Row],[Face value]]/100</f>
        <v>963.18006517150036</v>
      </c>
      <c r="AE162" s="28">
        <f>PRICE(Table1[[#This Row],[Issue date]],Table1[[#This Row],[Maturity date]],Table1[[#This Row],[Current coupon %]],Table1[[#This Row],[Yield (Annualised)]]-$AE$2,100,Table1[[#This Row],[Coupon Frequency2]])*Table1[[#This Row],[Face value]]/100</f>
        <v>1038.7455973101605</v>
      </c>
      <c r="AF162" s="28">
        <f>(Table1[[#This Row],[P (+ shock)]]+Table1[[#This Row],[P (-shock)]]-2*Table1[[#This Row],[Ask Price]])/(2*Table1[[#This Row],[Ask Price]]*($AE$2^2))</f>
        <v>9.6283124083038274</v>
      </c>
    </row>
    <row r="163" spans="1:32" x14ac:dyDescent="0.25">
      <c r="A163" s="21" t="s">
        <v>405</v>
      </c>
      <c r="B163" s="3" t="s">
        <v>391</v>
      </c>
      <c r="C163" s="3" t="s">
        <v>19</v>
      </c>
      <c r="D163" s="4">
        <v>45681</v>
      </c>
      <c r="E163" s="4">
        <v>47507</v>
      </c>
      <c r="F163" s="3">
        <v>1000</v>
      </c>
      <c r="G163" s="3" t="s">
        <v>20</v>
      </c>
      <c r="H163" s="3">
        <v>1036</v>
      </c>
      <c r="I163" s="3" t="s">
        <v>20</v>
      </c>
      <c r="J163" s="3">
        <v>103.6</v>
      </c>
      <c r="K163" s="3">
        <v>318</v>
      </c>
      <c r="L163" s="5">
        <v>0.105</v>
      </c>
      <c r="M163" s="3" t="s">
        <v>21</v>
      </c>
      <c r="N163" s="3">
        <v>1590</v>
      </c>
      <c r="O163" s="6">
        <f>Table1[[#This Row],[Current coupon %]]*Table1[[#This Row],[Face value]]/Table1[[#This Row],[Ask Price]]</f>
        <v>0.10135135135135136</v>
      </c>
      <c r="P163" s="3"/>
      <c r="Q163" s="3" t="s">
        <v>22</v>
      </c>
      <c r="R163">
        <f t="shared" si="2"/>
        <v>5</v>
      </c>
      <c r="S163" s="22" cm="1">
        <f t="array" ref="S163">_xlfn.IFS(Table1[[#This Row],[Coupon frequency]]="Semi-annual",2,Table1[[#This Row],[Coupon frequency]]="Quarterly",4,Table1[[#This Row],[Coupon frequency]]="Annual",1,Table1[[#This Row],[Coupon frequency]]="Every 4 months",3,Table1[[#This Row],[Coupon frequency]]="Monthly",12)</f>
        <v>1</v>
      </c>
      <c r="T163">
        <f>Table1[[#This Row],[Term to Maturity (Years)]]*Table1[[#This Row],[Coupon Frequency2]]</f>
        <v>5</v>
      </c>
      <c r="U163">
        <f>Table1[[#This Row],[Face value]]*Table1[[#This Row],[Current coupon %]]/Table1[[#This Row],[Coupon Frequency2]]</f>
        <v>105</v>
      </c>
      <c r="V163" s="23">
        <f>RATE(Table1[[#This Row],[Total No. of Coupons]],Table1[[#This Row],[Coupon Amount]],-Table1[[#This Row],[Ask Price]],Table1[[#This Row],[Face value]])</f>
        <v>9.5609570427101054E-2</v>
      </c>
      <c r="W163" s="24">
        <f>Table1[[#This Row],[IRR]]*Table1[[#This Row],[Coupon Frequency2]]</f>
        <v>9.5609570427101054E-2</v>
      </c>
      <c r="X163" s="25" cm="1">
        <f t="array" ref="X1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63" s="26">
        <f>DURATION(Table1[[#This Row],[Issue date]],Table1[[#This Row],[Maturity date]],Table1[[#This Row],[Current coupon %]],Table1[[#This Row],[Yield (Annualised)]],Table1[[#This Row],[Coupon Frequency2]])</f>
        <v>4.1521980483281054</v>
      </c>
      <c r="Z163" s="26">
        <f>Table1[[#This Row],[Macaulay Duration in Years]]/(1+Table1[[#This Row],[IRR]])</f>
        <v>3.7898519330288938</v>
      </c>
      <c r="AA163" s="27">
        <f>VLOOKUP(Table1[[#This Row],[Yield Cluster]],'[1]Cluster Details'!$B$3:$C$16,2,0)</f>
        <v>7.8548801574189142E-2</v>
      </c>
      <c r="AB163" s="28">
        <f>PRICE(Table1[[#This Row],[Issue date]],Table1[[#This Row],[Maturity date]],Table1[[#This Row],[Current coupon %]],Table1[[#This Row],[Average Cluster Yield]],100,Table1[[#This Row],[Coupon Frequency2]])*Table1[[#This Row],[Face value]]/100</f>
        <v>1106.0171475719424</v>
      </c>
      <c r="AC163" s="27" t="str">
        <f>IF(Table1[[#This Row],[Ask Price]]&gt;Table1[[#This Row],[Calculated Bond Price]],"Rich","Cheap")</f>
        <v>Cheap</v>
      </c>
      <c r="AD163" s="28">
        <f>PRICE(Table1[[#This Row],[Issue date]],Table1[[#This Row],[Maturity date]],Table1[[#This Row],[Current coupon %]],Table1[[#This Row],[Yield (Annualised)]]+$AE$2,100,Table1[[#This Row],[Coupon Frequency2]])*Table1[[#This Row],[Face value]]/100</f>
        <v>997.72198549507607</v>
      </c>
      <c r="AE163" s="28">
        <f>PRICE(Table1[[#This Row],[Issue date]],Table1[[#This Row],[Maturity date]],Table1[[#This Row],[Current coupon %]],Table1[[#This Row],[Yield (Annualised)]]-$AE$2,100,Table1[[#This Row],[Coupon Frequency2]])*Table1[[#This Row],[Face value]]/100</f>
        <v>1076.2890955291496</v>
      </c>
      <c r="AF163" s="28">
        <f>(Table1[[#This Row],[P (+ shock)]]+Table1[[#This Row],[P (-shock)]]-2*Table1[[#This Row],[Ask Price]])/(2*Table1[[#This Row],[Ask Price]]*($AE$2^2))</f>
        <v>9.7059894991595517</v>
      </c>
    </row>
    <row r="164" spans="1:32" x14ac:dyDescent="0.25">
      <c r="A164" s="21" t="s">
        <v>406</v>
      </c>
      <c r="B164" s="3" t="s">
        <v>407</v>
      </c>
      <c r="C164" s="3" t="s">
        <v>19</v>
      </c>
      <c r="D164" s="4">
        <v>45840</v>
      </c>
      <c r="E164" s="4">
        <v>46936</v>
      </c>
      <c r="F164" s="3">
        <v>1000</v>
      </c>
      <c r="G164" s="3" t="s">
        <v>20</v>
      </c>
      <c r="H164" s="3">
        <v>987</v>
      </c>
      <c r="I164" s="3" t="s">
        <v>20</v>
      </c>
      <c r="J164" s="3">
        <v>98.7</v>
      </c>
      <c r="K164" s="3">
        <v>15</v>
      </c>
      <c r="L164" s="5">
        <v>0.1</v>
      </c>
      <c r="M164" s="3" t="s">
        <v>21</v>
      </c>
      <c r="N164" s="3">
        <v>1019</v>
      </c>
      <c r="O164" s="6">
        <f>Table1[[#This Row],[Current coupon %]]*Table1[[#This Row],[Face value]]/Table1[[#This Row],[Ask Price]]</f>
        <v>0.10131712259371833</v>
      </c>
      <c r="P164" s="3"/>
      <c r="Q164" s="3" t="s">
        <v>22</v>
      </c>
      <c r="R164">
        <f t="shared" si="2"/>
        <v>3</v>
      </c>
      <c r="S164" s="22" cm="1">
        <f t="array" ref="S164">_xlfn.IFS(Table1[[#This Row],[Coupon frequency]]="Semi-annual",2,Table1[[#This Row],[Coupon frequency]]="Quarterly",4,Table1[[#This Row],[Coupon frequency]]="Annual",1,Table1[[#This Row],[Coupon frequency]]="Every 4 months",3,Table1[[#This Row],[Coupon frequency]]="Monthly",12)</f>
        <v>1</v>
      </c>
      <c r="T164">
        <f>Table1[[#This Row],[Term to Maturity (Years)]]*Table1[[#This Row],[Coupon Frequency2]]</f>
        <v>3</v>
      </c>
      <c r="U164">
        <f>Table1[[#This Row],[Face value]]*Table1[[#This Row],[Current coupon %]]/Table1[[#This Row],[Coupon Frequency2]]</f>
        <v>100</v>
      </c>
      <c r="V164" s="23">
        <f>RATE(Table1[[#This Row],[Total No. of Coupons]],Table1[[#This Row],[Coupon Amount]],-Table1[[#This Row],[Ask Price]],Table1[[#This Row],[Face value]])</f>
        <v>0.10527611767900813</v>
      </c>
      <c r="W164" s="24">
        <f>Table1[[#This Row],[IRR]]*Table1[[#This Row],[Coupon Frequency2]]</f>
        <v>0.10527611767900813</v>
      </c>
      <c r="X164" s="25" cm="1">
        <f t="array" ref="X1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64" s="26">
        <f>DURATION(Table1[[#This Row],[Issue date]],Table1[[#This Row],[Maturity date]],Table1[[#This Row],[Current coupon %]],Table1[[#This Row],[Yield (Annualised)]],Table1[[#This Row],[Coupon Frequency2]])</f>
        <v>2.7337307497536969</v>
      </c>
      <c r="Z164" s="26">
        <f>Table1[[#This Row],[Macaulay Duration in Years]]/(1+Table1[[#This Row],[IRR]])</f>
        <v>2.4733464389824271</v>
      </c>
      <c r="AA164" s="27">
        <f>VLOOKUP(Table1[[#This Row],[Yield Cluster]],'[1]Cluster Details'!$B$3:$C$16,2,0)</f>
        <v>0.11069942689191503</v>
      </c>
      <c r="AB164" s="28">
        <f>PRICE(Table1[[#This Row],[Issue date]],Table1[[#This Row],[Maturity date]],Table1[[#This Row],[Current coupon %]],Table1[[#This Row],[Average Cluster Yield]],100,Table1[[#This Row],[Coupon Frequency2]])*Table1[[#This Row],[Face value]]/100</f>
        <v>973.88542649689816</v>
      </c>
      <c r="AC164" s="27" t="str">
        <f>IF(Table1[[#This Row],[Ask Price]]&gt;Table1[[#This Row],[Calculated Bond Price]],"Rich","Cheap")</f>
        <v>Rich</v>
      </c>
      <c r="AD164" s="28">
        <f>PRICE(Table1[[#This Row],[Issue date]],Table1[[#This Row],[Maturity date]],Table1[[#This Row],[Current coupon %]],Table1[[#This Row],[Yield (Annualised)]]+$AE$2,100,Table1[[#This Row],[Coupon Frequency2]])*Table1[[#This Row],[Face value]]/100</f>
        <v>963.0094396122546</v>
      </c>
      <c r="AE164" s="28">
        <f>PRICE(Table1[[#This Row],[Issue date]],Table1[[#This Row],[Maturity date]],Table1[[#This Row],[Current coupon %]],Table1[[#This Row],[Yield (Annualised)]]-$AE$2,100,Table1[[#This Row],[Coupon Frequency2]])*Table1[[#This Row],[Face value]]/100</f>
        <v>1011.8459864320715</v>
      </c>
      <c r="AF164" s="28">
        <f>(Table1[[#This Row],[P (+ shock)]]+Table1[[#This Row],[P (-shock)]]-2*Table1[[#This Row],[Ask Price]])/(2*Table1[[#This Row],[Ask Price]]*($AE$2^2))</f>
        <v>4.3334652701424652</v>
      </c>
    </row>
    <row r="165" spans="1:32" x14ac:dyDescent="0.25">
      <c r="A165" s="21" t="s">
        <v>69</v>
      </c>
      <c r="B165" s="3" t="s">
        <v>70</v>
      </c>
      <c r="C165" s="3" t="s">
        <v>19</v>
      </c>
      <c r="D165" s="4">
        <v>43591</v>
      </c>
      <c r="E165" s="4">
        <v>47244</v>
      </c>
      <c r="F165" s="3">
        <v>1000</v>
      </c>
      <c r="G165" s="3" t="s">
        <v>20</v>
      </c>
      <c r="H165" s="3">
        <v>1061.99</v>
      </c>
      <c r="I165" s="3" t="s">
        <v>20</v>
      </c>
      <c r="J165" s="3">
        <v>106.199</v>
      </c>
      <c r="K165" s="3">
        <v>100</v>
      </c>
      <c r="L165" s="5">
        <v>0.1075</v>
      </c>
      <c r="M165" s="3" t="s">
        <v>21</v>
      </c>
      <c r="N165" s="3">
        <v>1327</v>
      </c>
      <c r="O165" s="6">
        <f>Table1[[#This Row],[Current coupon %]]*Table1[[#This Row],[Face value]]/Table1[[#This Row],[Ask Price]]</f>
        <v>0.10122505861637116</v>
      </c>
      <c r="P165" s="3"/>
      <c r="Q165" s="3" t="s">
        <v>22</v>
      </c>
      <c r="R165">
        <f t="shared" si="2"/>
        <v>10</v>
      </c>
      <c r="S165" s="22" cm="1">
        <f t="array" ref="S165">_xlfn.IFS(Table1[[#This Row],[Coupon frequency]]="Semi-annual",2,Table1[[#This Row],[Coupon frequency]]="Quarterly",4,Table1[[#This Row],[Coupon frequency]]="Annual",1,Table1[[#This Row],[Coupon frequency]]="Every 4 months",3,Table1[[#This Row],[Coupon frequency]]="Monthly",12)</f>
        <v>1</v>
      </c>
      <c r="T165">
        <f>Table1[[#This Row],[Term to Maturity (Years)]]*Table1[[#This Row],[Coupon Frequency2]]</f>
        <v>10</v>
      </c>
      <c r="U165">
        <f>Table1[[#This Row],[Face value]]*Table1[[#This Row],[Current coupon %]]/Table1[[#This Row],[Coupon Frequency2]]</f>
        <v>107.5</v>
      </c>
      <c r="V165" s="23">
        <f>RATE(Table1[[#This Row],[Total No. of Coupons]],Table1[[#This Row],[Coupon Amount]],-Table1[[#This Row],[Ask Price]],Table1[[#This Row],[Face value]])</f>
        <v>9.7518700618593357E-2</v>
      </c>
      <c r="W165" s="24">
        <f>Table1[[#This Row],[IRR]]*Table1[[#This Row],[Coupon Frequency2]]</f>
        <v>9.7518700618593357E-2</v>
      </c>
      <c r="X165" s="25" cm="1">
        <f t="array" ref="X1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65" s="26">
        <f>DURATION(Table1[[#This Row],[Issue date]],Table1[[#This Row],[Maturity date]],Table1[[#This Row],[Current coupon %]],Table1[[#This Row],[Yield (Annualised)]],Table1[[#This Row],[Coupon Frequency2]])</f>
        <v>6.6952622077080557</v>
      </c>
      <c r="Z165" s="26">
        <f>Table1[[#This Row],[Macaulay Duration in Years]]/(1+Table1[[#This Row],[IRR]])</f>
        <v>6.1003627582239934</v>
      </c>
      <c r="AA165" s="27">
        <f>VLOOKUP(Table1[[#This Row],[Yield Cluster]],'[1]Cluster Details'!$B$3:$C$16,2,0)</f>
        <v>7.8548801574189142E-2</v>
      </c>
      <c r="AB165" s="28">
        <f>PRICE(Table1[[#This Row],[Issue date]],Table1[[#This Row],[Maturity date]],Table1[[#This Row],[Current coupon %]],Table1[[#This Row],[Average Cluster Yield]],100,Table1[[#This Row],[Coupon Frequency2]])*Table1[[#This Row],[Face value]]/100</f>
        <v>1195.5429250714189</v>
      </c>
      <c r="AC165" s="27" t="str">
        <f>IF(Table1[[#This Row],[Ask Price]]&gt;Table1[[#This Row],[Calculated Bond Price]],"Rich","Cheap")</f>
        <v>Cheap</v>
      </c>
      <c r="AD165" s="28">
        <f>PRICE(Table1[[#This Row],[Issue date]],Table1[[#This Row],[Maturity date]],Table1[[#This Row],[Current coupon %]],Table1[[#This Row],[Yield (Annualised)]]+$AE$2,100,Table1[[#This Row],[Coupon Frequency2]])*Table1[[#This Row],[Face value]]/100</f>
        <v>999.88871238919614</v>
      </c>
      <c r="AE165" s="28">
        <f>PRICE(Table1[[#This Row],[Issue date]],Table1[[#This Row],[Maturity date]],Table1[[#This Row],[Current coupon %]],Table1[[#This Row],[Yield (Annualised)]]-$AE$2,100,Table1[[#This Row],[Coupon Frequency2]])*Table1[[#This Row],[Face value]]/100</f>
        <v>1129.6456373110545</v>
      </c>
      <c r="AF165" s="28">
        <f>(Table1[[#This Row],[P (+ shock)]]+Table1[[#This Row],[P (-shock)]]-2*Table1[[#This Row],[Ask Price]])/(2*Table1[[#This Row],[Ask Price]]*($AE$2^2))</f>
        <v>26.150668557380204</v>
      </c>
    </row>
    <row r="166" spans="1:32" x14ac:dyDescent="0.25">
      <c r="A166" s="21" t="s">
        <v>59</v>
      </c>
      <c r="B166" s="3" t="s">
        <v>60</v>
      </c>
      <c r="C166" s="3" t="s">
        <v>19</v>
      </c>
      <c r="D166" s="4">
        <v>43608</v>
      </c>
      <c r="E166" s="4">
        <v>47261</v>
      </c>
      <c r="F166" s="3">
        <v>1000</v>
      </c>
      <c r="G166" s="3" t="s">
        <v>20</v>
      </c>
      <c r="H166" s="3">
        <v>1028</v>
      </c>
      <c r="I166" s="3" t="s">
        <v>20</v>
      </c>
      <c r="J166" s="3">
        <v>102.8</v>
      </c>
      <c r="K166" s="3">
        <v>25</v>
      </c>
      <c r="L166" s="5">
        <v>0.10400000000000001</v>
      </c>
      <c r="M166" s="3" t="s">
        <v>21</v>
      </c>
      <c r="N166" s="3">
        <v>1344</v>
      </c>
      <c r="O166" s="6">
        <f>Table1[[#This Row],[Current coupon %]]*Table1[[#This Row],[Face value]]/Table1[[#This Row],[Ask Price]]</f>
        <v>0.10116731517509729</v>
      </c>
      <c r="P166" s="3"/>
      <c r="Q166" s="3" t="s">
        <v>22</v>
      </c>
      <c r="R166">
        <f t="shared" si="2"/>
        <v>10</v>
      </c>
      <c r="S166" s="22" cm="1">
        <f t="array" ref="S166">_xlfn.IFS(Table1[[#This Row],[Coupon frequency]]="Semi-annual",2,Table1[[#This Row],[Coupon frequency]]="Quarterly",4,Table1[[#This Row],[Coupon frequency]]="Annual",1,Table1[[#This Row],[Coupon frequency]]="Every 4 months",3,Table1[[#This Row],[Coupon frequency]]="Monthly",12)</f>
        <v>1</v>
      </c>
      <c r="T166">
        <f>Table1[[#This Row],[Term to Maturity (Years)]]*Table1[[#This Row],[Coupon Frequency2]]</f>
        <v>10</v>
      </c>
      <c r="U166">
        <f>Table1[[#This Row],[Face value]]*Table1[[#This Row],[Current coupon %]]/Table1[[#This Row],[Coupon Frequency2]]</f>
        <v>104.00000000000001</v>
      </c>
      <c r="V166" s="23">
        <f>RATE(Table1[[#This Row],[Total No. of Coupons]],Table1[[#This Row],[Coupon Amount]],-Table1[[#This Row],[Ask Price]],Table1[[#This Row],[Face value]])</f>
        <v>9.9453815447831356E-2</v>
      </c>
      <c r="W166" s="24">
        <f>Table1[[#This Row],[IRR]]*Table1[[#This Row],[Coupon Frequency2]]</f>
        <v>9.9453815447831356E-2</v>
      </c>
      <c r="X166" s="25" cm="1">
        <f t="array" ref="X1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66" s="26">
        <f>DURATION(Table1[[#This Row],[Issue date]],Table1[[#This Row],[Maturity date]],Table1[[#This Row],[Current coupon %]],Table1[[#This Row],[Yield (Annualised)]],Table1[[#This Row],[Coupon Frequency2]])</f>
        <v>6.7159246591279702</v>
      </c>
      <c r="Z166" s="26">
        <f>Table1[[#This Row],[Macaulay Duration in Years]]/(1+Table1[[#This Row],[IRR]])</f>
        <v>6.108419075695716</v>
      </c>
      <c r="AA166" s="27">
        <f>VLOOKUP(Table1[[#This Row],[Yield Cluster]],'[1]Cluster Details'!$B$3:$C$16,2,0)</f>
        <v>7.8548801574189142E-2</v>
      </c>
      <c r="AB166" s="28">
        <f>PRICE(Table1[[#This Row],[Issue date]],Table1[[#This Row],[Maturity date]],Table1[[#This Row],[Current coupon %]],Table1[[#This Row],[Average Cluster Yield]],100,Table1[[#This Row],[Coupon Frequency2]])*Table1[[#This Row],[Face value]]/100</f>
        <v>1171.9031355302789</v>
      </c>
      <c r="AC166" s="27" t="str">
        <f>IF(Table1[[#This Row],[Ask Price]]&gt;Table1[[#This Row],[Calculated Bond Price]],"Rich","Cheap")</f>
        <v>Cheap</v>
      </c>
      <c r="AD166" s="28">
        <f>PRICE(Table1[[#This Row],[Issue date]],Table1[[#This Row],[Maturity date]],Table1[[#This Row],[Current coupon %]],Table1[[#This Row],[Yield (Annualised)]]+$AE$2,100,Table1[[#This Row],[Coupon Frequency2]])*Table1[[#This Row],[Face value]]/100</f>
        <v>967.80752273138944</v>
      </c>
      <c r="AE166" s="28">
        <f>PRICE(Table1[[#This Row],[Issue date]],Table1[[#This Row],[Maturity date]],Table1[[#This Row],[Current coupon %]],Table1[[#This Row],[Yield (Annualised)]]-$AE$2,100,Table1[[#This Row],[Coupon Frequency2]])*Table1[[#This Row],[Face value]]/100</f>
        <v>1093.5772815218957</v>
      </c>
      <c r="AF166" s="28">
        <f>(Table1[[#This Row],[P (+ shock)]]+Table1[[#This Row],[P (-shock)]]-2*Table1[[#This Row],[Ask Price]])/(2*Table1[[#This Row],[Ask Price]]*($AE$2^2))</f>
        <v>26.190682165782992</v>
      </c>
    </row>
    <row r="167" spans="1:32" x14ac:dyDescent="0.25">
      <c r="A167" s="21" t="s">
        <v>408</v>
      </c>
      <c r="B167" s="3" t="s">
        <v>409</v>
      </c>
      <c r="C167" s="3" t="s">
        <v>19</v>
      </c>
      <c r="D167" s="4">
        <v>45868</v>
      </c>
      <c r="E167" s="4">
        <v>46417</v>
      </c>
      <c r="F167" s="3">
        <v>100000</v>
      </c>
      <c r="G167" s="3" t="s">
        <v>20</v>
      </c>
      <c r="H167" s="3">
        <v>101376</v>
      </c>
      <c r="I167" s="3" t="s">
        <v>20</v>
      </c>
      <c r="J167" s="3">
        <v>101.376</v>
      </c>
      <c r="K167" s="3">
        <v>7</v>
      </c>
      <c r="L167" s="5">
        <v>0.10249999999999999</v>
      </c>
      <c r="M167" s="3" t="s">
        <v>44</v>
      </c>
      <c r="N167" s="3">
        <v>500</v>
      </c>
      <c r="O167" s="6">
        <f>Table1[[#This Row],[Current coupon %]]*Table1[[#This Row],[Face value]]/Table1[[#This Row],[Ask Price]]</f>
        <v>0.10110874368686869</v>
      </c>
      <c r="P167" s="3"/>
      <c r="Q167" s="3" t="s">
        <v>22</v>
      </c>
      <c r="R167">
        <f t="shared" si="2"/>
        <v>2</v>
      </c>
      <c r="S167" s="22" cm="1">
        <f t="array" ref="S167">_xlfn.IFS(Table1[[#This Row],[Coupon frequency]]="Semi-annual",2,Table1[[#This Row],[Coupon frequency]]="Quarterly",4,Table1[[#This Row],[Coupon frequency]]="Annual",1,Table1[[#This Row],[Coupon frequency]]="Every 4 months",3,Table1[[#This Row],[Coupon frequency]]="Monthly",12)</f>
        <v>4</v>
      </c>
      <c r="T167">
        <f>Table1[[#This Row],[Term to Maturity (Years)]]*Table1[[#This Row],[Coupon Frequency2]]</f>
        <v>8</v>
      </c>
      <c r="U167">
        <f>Table1[[#This Row],[Face value]]*Table1[[#This Row],[Current coupon %]]/Table1[[#This Row],[Coupon Frequency2]]</f>
        <v>2562.5</v>
      </c>
      <c r="V167" s="23">
        <f>RATE(Table1[[#This Row],[Total No. of Coupons]],Table1[[#This Row],[Coupon Amount]],-Table1[[#This Row],[Ask Price]],Table1[[#This Row],[Face value]])</f>
        <v>2.3716418111928914E-2</v>
      </c>
      <c r="W167" s="24">
        <f>Table1[[#This Row],[IRR]]*Table1[[#This Row],[Coupon Frequency2]]</f>
        <v>9.4865672447715654E-2</v>
      </c>
      <c r="X167" s="25" cm="1">
        <f t="array" ref="X1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67" s="26">
        <f>DURATION(Table1[[#This Row],[Issue date]],Table1[[#This Row],[Maturity date]],Table1[[#This Row],[Current coupon %]],Table1[[#This Row],[Yield (Annualised)]],Table1[[#This Row],[Coupon Frequency2]])</f>
        <v>1.4099329675771555</v>
      </c>
      <c r="Z167" s="26">
        <f>Table1[[#This Row],[Macaulay Duration in Years]]/(1+Table1[[#This Row],[IRR]])</f>
        <v>1.3772690782644059</v>
      </c>
      <c r="AA167" s="27">
        <f>VLOOKUP(Table1[[#This Row],[Yield Cluster]],'[1]Cluster Details'!$B$3:$C$16,2,0)</f>
        <v>7.8548801574189142E-2</v>
      </c>
      <c r="AB167" s="28">
        <f>PRICE(Table1[[#This Row],[Issue date]],Table1[[#This Row],[Maturity date]],Table1[[#This Row],[Current coupon %]],Table1[[#This Row],[Average Cluster Yield]],100,Table1[[#This Row],[Coupon Frequency2]])*Table1[[#This Row],[Face value]]/100</f>
        <v>103358.13497418577</v>
      </c>
      <c r="AC167" s="27" t="str">
        <f>IF(Table1[[#This Row],[Ask Price]]&gt;Table1[[#This Row],[Calculated Bond Price]],"Rich","Cheap")</f>
        <v>Cheap</v>
      </c>
      <c r="AD167" s="28">
        <f>PRICE(Table1[[#This Row],[Issue date]],Table1[[#This Row],[Maturity date]],Table1[[#This Row],[Current coupon %]],Table1[[#This Row],[Yield (Annualised)]]+$AE$2,100,Table1[[#This Row],[Coupon Frequency2]])*Table1[[#This Row],[Face value]]/100</f>
        <v>99675.56060450169</v>
      </c>
      <c r="AE167" s="28">
        <f>PRICE(Table1[[#This Row],[Issue date]],Table1[[#This Row],[Maturity date]],Table1[[#This Row],[Current coupon %]],Table1[[#This Row],[Yield (Annualised)]]-$AE$2,100,Table1[[#This Row],[Coupon Frequency2]])*Table1[[#This Row],[Face value]]/100</f>
        <v>102459.33122719394</v>
      </c>
      <c r="AF167" s="28">
        <f>(Table1[[#This Row],[P (+ shock)]]+Table1[[#This Row],[P (-shock)]]-2*Table1[[#This Row],[Ask Price]])/(2*Table1[[#This Row],[Ask Price]]*($AE$2^2))</f>
        <v>-30.436600788370715</v>
      </c>
    </row>
    <row r="168" spans="1:32" x14ac:dyDescent="0.25">
      <c r="A168" s="21" t="s">
        <v>410</v>
      </c>
      <c r="B168" s="3" t="s">
        <v>411</v>
      </c>
      <c r="C168" s="3" t="s">
        <v>19</v>
      </c>
      <c r="D168" s="4">
        <v>45712</v>
      </c>
      <c r="E168" s="4">
        <v>47903</v>
      </c>
      <c r="F168" s="3">
        <v>1000</v>
      </c>
      <c r="G168" s="3" t="s">
        <v>20</v>
      </c>
      <c r="H168" s="3">
        <v>1000</v>
      </c>
      <c r="I168" s="3" t="s">
        <v>20</v>
      </c>
      <c r="J168" s="3">
        <v>100</v>
      </c>
      <c r="K168" s="3">
        <v>20</v>
      </c>
      <c r="L168" s="5">
        <v>0.10099999999999999</v>
      </c>
      <c r="M168" s="3" t="s">
        <v>21</v>
      </c>
      <c r="N168" s="3">
        <v>1986</v>
      </c>
      <c r="O168" s="6">
        <f>Table1[[#This Row],[Current coupon %]]*Table1[[#This Row],[Face value]]/Table1[[#This Row],[Ask Price]]</f>
        <v>0.10099999999999999</v>
      </c>
      <c r="P168" s="3"/>
      <c r="Q168" s="3" t="s">
        <v>22</v>
      </c>
      <c r="R168">
        <f t="shared" si="2"/>
        <v>6</v>
      </c>
      <c r="S168" s="22" cm="1">
        <f t="array" ref="S168">_xlfn.IFS(Table1[[#This Row],[Coupon frequency]]="Semi-annual",2,Table1[[#This Row],[Coupon frequency]]="Quarterly",4,Table1[[#This Row],[Coupon frequency]]="Annual",1,Table1[[#This Row],[Coupon frequency]]="Every 4 months",3,Table1[[#This Row],[Coupon frequency]]="Monthly",12)</f>
        <v>1</v>
      </c>
      <c r="T168">
        <f>Table1[[#This Row],[Term to Maturity (Years)]]*Table1[[#This Row],[Coupon Frequency2]]</f>
        <v>6</v>
      </c>
      <c r="U168">
        <f>Table1[[#This Row],[Face value]]*Table1[[#This Row],[Current coupon %]]/Table1[[#This Row],[Coupon Frequency2]]</f>
        <v>100.99999999999999</v>
      </c>
      <c r="V168" s="23">
        <f>RATE(Table1[[#This Row],[Total No. of Coupons]],Table1[[#This Row],[Coupon Amount]],-Table1[[#This Row],[Ask Price]],Table1[[#This Row],[Face value]])</f>
        <v>0.10099999999967199</v>
      </c>
      <c r="W168" s="24">
        <f>Table1[[#This Row],[IRR]]*Table1[[#This Row],[Coupon Frequency2]]</f>
        <v>0.10099999999967199</v>
      </c>
      <c r="X168" s="25" cm="1">
        <f t="array" ref="X1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68" s="26">
        <f>DURATION(Table1[[#This Row],[Issue date]],Table1[[#This Row],[Maturity date]],Table1[[#This Row],[Current coupon %]],Table1[[#This Row],[Yield (Annualised)]],Table1[[#This Row],[Coupon Frequency2]])</f>
        <v>4.7811224308668843</v>
      </c>
      <c r="Z168" s="26">
        <f>Table1[[#This Row],[Macaulay Duration in Years]]/(1+Table1[[#This Row],[IRR]])</f>
        <v>4.3425271851664924</v>
      </c>
      <c r="AA168" s="27">
        <f>VLOOKUP(Table1[[#This Row],[Yield Cluster]],'[1]Cluster Details'!$B$3:$C$16,2,0)</f>
        <v>0.11069942689191503</v>
      </c>
      <c r="AB168" s="28">
        <f>PRICE(Table1[[#This Row],[Issue date]],Table1[[#This Row],[Maturity date]],Table1[[#This Row],[Current coupon %]],Table1[[#This Row],[Average Cluster Yield]],100,Table1[[#This Row],[Coupon Frequency2]])*Table1[[#This Row],[Face value]]/100</f>
        <v>959.04875309495173</v>
      </c>
      <c r="AC168" s="27" t="str">
        <f>IF(Table1[[#This Row],[Ask Price]]&gt;Table1[[#This Row],[Calculated Bond Price]],"Rich","Cheap")</f>
        <v>Rich</v>
      </c>
      <c r="AD168" s="28">
        <f>PRICE(Table1[[#This Row],[Issue date]],Table1[[#This Row],[Maturity date]],Table1[[#This Row],[Current coupon %]],Table1[[#This Row],[Yield (Annualised)]]+$AE$2,100,Table1[[#This Row],[Coupon Frequency2]])*Table1[[#This Row],[Face value]]/100</f>
        <v>957.81621407633259</v>
      </c>
      <c r="AE168" s="28">
        <f>PRICE(Table1[[#This Row],[Issue date]],Table1[[#This Row],[Maturity date]],Table1[[#This Row],[Current coupon %]],Table1[[#This Row],[Yield (Annualised)]]-$AE$2,100,Table1[[#This Row],[Coupon Frequency2]])*Table1[[#This Row],[Face value]]/100</f>
        <v>1044.725754411269</v>
      </c>
      <c r="AF168" s="28">
        <f>(Table1[[#This Row],[P (+ shock)]]+Table1[[#This Row],[P (-shock)]]-2*Table1[[#This Row],[Ask Price]])/(2*Table1[[#This Row],[Ask Price]]*($AE$2^2))</f>
        <v>12.709842438007399</v>
      </c>
    </row>
    <row r="169" spans="1:32" x14ac:dyDescent="0.25">
      <c r="A169" s="21" t="s">
        <v>412</v>
      </c>
      <c r="B169" s="3" t="s">
        <v>413</v>
      </c>
      <c r="C169" s="3" t="s">
        <v>19</v>
      </c>
      <c r="D169" s="4">
        <v>45135</v>
      </c>
      <c r="E169" s="4">
        <v>46486</v>
      </c>
      <c r="F169" s="3">
        <v>100000</v>
      </c>
      <c r="G169" s="3" t="s">
        <v>20</v>
      </c>
      <c r="H169" s="3">
        <v>103890</v>
      </c>
      <c r="I169" s="3" t="s">
        <v>20</v>
      </c>
      <c r="J169" s="3">
        <v>103.88999999999901</v>
      </c>
      <c r="K169" s="3">
        <v>9</v>
      </c>
      <c r="L169" s="5">
        <v>0.1047</v>
      </c>
      <c r="M169" s="3" t="s">
        <v>21</v>
      </c>
      <c r="N169" s="3">
        <v>569</v>
      </c>
      <c r="O169" s="6">
        <f>Table1[[#This Row],[Current coupon %]]*Table1[[#This Row],[Face value]]/Table1[[#This Row],[Ask Price]]</f>
        <v>0.10077967080565983</v>
      </c>
      <c r="P169" s="3"/>
      <c r="Q169" s="3" t="s">
        <v>22</v>
      </c>
      <c r="R169">
        <f t="shared" si="2"/>
        <v>4</v>
      </c>
      <c r="S169" s="22" cm="1">
        <f t="array" ref="S169">_xlfn.IFS(Table1[[#This Row],[Coupon frequency]]="Semi-annual",2,Table1[[#This Row],[Coupon frequency]]="Quarterly",4,Table1[[#This Row],[Coupon frequency]]="Annual",1,Table1[[#This Row],[Coupon frequency]]="Every 4 months",3,Table1[[#This Row],[Coupon frequency]]="Monthly",12)</f>
        <v>1</v>
      </c>
      <c r="T169">
        <f>Table1[[#This Row],[Term to Maturity (Years)]]*Table1[[#This Row],[Coupon Frequency2]]</f>
        <v>4</v>
      </c>
      <c r="U169">
        <f>Table1[[#This Row],[Face value]]*Table1[[#This Row],[Current coupon %]]/Table1[[#This Row],[Coupon Frequency2]]</f>
        <v>10470</v>
      </c>
      <c r="V169" s="23">
        <f>RATE(Table1[[#This Row],[Total No. of Coupons]],Table1[[#This Row],[Coupon Amount]],-Table1[[#This Row],[Ask Price]],Table1[[#This Row],[Face value]])</f>
        <v>9.2623571410249739E-2</v>
      </c>
      <c r="W169" s="24">
        <f>Table1[[#This Row],[IRR]]*Table1[[#This Row],[Coupon Frequency2]]</f>
        <v>9.2623571410249739E-2</v>
      </c>
      <c r="X169" s="25" cm="1">
        <f t="array" ref="X1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69" s="26">
        <f>DURATION(Table1[[#This Row],[Issue date]],Table1[[#This Row],[Maturity date]],Table1[[#This Row],[Current coupon %]],Table1[[#This Row],[Yield (Annualised)]],Table1[[#This Row],[Coupon Frequency2]])</f>
        <v>3.1744171081458648</v>
      </c>
      <c r="Z169" s="26">
        <f>Table1[[#This Row],[Macaulay Duration in Years]]/(1+Table1[[#This Row],[IRR]])</f>
        <v>2.9053163332808603</v>
      </c>
      <c r="AA169" s="27">
        <f>VLOOKUP(Table1[[#This Row],[Yield Cluster]],'[1]Cluster Details'!$B$3:$C$16,2,0)</f>
        <v>7.8548801574189142E-2</v>
      </c>
      <c r="AB169" s="28">
        <f>PRICE(Table1[[#This Row],[Issue date]],Table1[[#This Row],[Maturity date]],Table1[[#This Row],[Current coupon %]],Table1[[#This Row],[Average Cluster Yield]],100,Table1[[#This Row],[Coupon Frequency2]])*Table1[[#This Row],[Face value]]/100</f>
        <v>108036.73028420396</v>
      </c>
      <c r="AC169" s="27" t="str">
        <f>IF(Table1[[#This Row],[Ask Price]]&gt;Table1[[#This Row],[Calculated Bond Price]],"Rich","Cheap")</f>
        <v>Cheap</v>
      </c>
      <c r="AD169" s="28">
        <f>PRICE(Table1[[#This Row],[Issue date]],Table1[[#This Row],[Maturity date]],Table1[[#This Row],[Current coupon %]],Table1[[#This Row],[Yield (Annualised)]]+$AE$2,100,Table1[[#This Row],[Coupon Frequency2]])*Table1[[#This Row],[Face value]]/100</f>
        <v>100506.13347611237</v>
      </c>
      <c r="AE169" s="28">
        <f>PRICE(Table1[[#This Row],[Issue date]],Table1[[#This Row],[Maturity date]],Table1[[#This Row],[Current coupon %]],Table1[[#This Row],[Yield (Annualised)]]-$AE$2,100,Table1[[#This Row],[Coupon Frequency2]])*Table1[[#This Row],[Face value]]/100</f>
        <v>106709.05663912266</v>
      </c>
      <c r="AF169" s="28">
        <f>(Table1[[#This Row],[P (+ shock)]]+Table1[[#This Row],[P (-shock)]]-2*Table1[[#This Row],[Ask Price]])/(2*Table1[[#This Row],[Ask Price]]*($AE$2^2))</f>
        <v>-27.183072709835042</v>
      </c>
    </row>
    <row r="170" spans="1:32" x14ac:dyDescent="0.25">
      <c r="A170" s="21" t="s">
        <v>414</v>
      </c>
      <c r="B170" s="3" t="s">
        <v>415</v>
      </c>
      <c r="C170" s="3" t="s">
        <v>19</v>
      </c>
      <c r="D170" s="4">
        <v>45726</v>
      </c>
      <c r="E170" s="4">
        <v>46822</v>
      </c>
      <c r="F170" s="3">
        <v>100000</v>
      </c>
      <c r="G170" s="3" t="s">
        <v>20</v>
      </c>
      <c r="H170" s="3">
        <v>102852.66</v>
      </c>
      <c r="I170" s="3" t="s">
        <v>20</v>
      </c>
      <c r="J170" s="3">
        <v>102.85266</v>
      </c>
      <c r="K170" s="3">
        <v>1</v>
      </c>
      <c r="L170" s="5">
        <v>0.10349999999999999</v>
      </c>
      <c r="M170" s="3" t="s">
        <v>21</v>
      </c>
      <c r="N170" s="3">
        <v>905</v>
      </c>
      <c r="O170" s="6">
        <f>Table1[[#This Row],[Current coupon %]]*Table1[[#This Row],[Face value]]/Table1[[#This Row],[Ask Price]]</f>
        <v>0.10062938576406288</v>
      </c>
      <c r="P170" s="3"/>
      <c r="Q170" s="3" t="s">
        <v>22</v>
      </c>
      <c r="R170">
        <f t="shared" si="2"/>
        <v>3</v>
      </c>
      <c r="S170" s="22" cm="1">
        <f t="array" ref="S170">_xlfn.IFS(Table1[[#This Row],[Coupon frequency]]="Semi-annual",2,Table1[[#This Row],[Coupon frequency]]="Quarterly",4,Table1[[#This Row],[Coupon frequency]]="Annual",1,Table1[[#This Row],[Coupon frequency]]="Every 4 months",3,Table1[[#This Row],[Coupon frequency]]="Monthly",12)</f>
        <v>1</v>
      </c>
      <c r="T170">
        <f>Table1[[#This Row],[Term to Maturity (Years)]]*Table1[[#This Row],[Coupon Frequency2]]</f>
        <v>3</v>
      </c>
      <c r="U170">
        <f>Table1[[#This Row],[Face value]]*Table1[[#This Row],[Current coupon %]]/Table1[[#This Row],[Coupon Frequency2]]</f>
        <v>10350</v>
      </c>
      <c r="V170" s="23">
        <f>RATE(Table1[[#This Row],[Total No. of Coupons]],Table1[[#This Row],[Coupon Amount]],-Table1[[#This Row],[Ask Price]],Table1[[#This Row],[Face value]])</f>
        <v>9.2186489232222502E-2</v>
      </c>
      <c r="W170" s="24">
        <f>Table1[[#This Row],[IRR]]*Table1[[#This Row],[Coupon Frequency2]]</f>
        <v>9.2186489232222502E-2</v>
      </c>
      <c r="X170" s="25" cm="1">
        <f t="array" ref="X1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70" s="26">
        <f>DURATION(Table1[[#This Row],[Issue date]],Table1[[#This Row],[Maturity date]],Table1[[#This Row],[Current coupon %]],Table1[[#This Row],[Yield (Annualised)]],Table1[[#This Row],[Coupon Frequency2]])</f>
        <v>2.7313696041280284</v>
      </c>
      <c r="Z170" s="26">
        <f>Table1[[#This Row],[Macaulay Duration in Years]]/(1+Table1[[#This Row],[IRR]])</f>
        <v>2.5008271307660168</v>
      </c>
      <c r="AA170" s="27">
        <f>VLOOKUP(Table1[[#This Row],[Yield Cluster]],'[1]Cluster Details'!$B$3:$C$16,2,0)</f>
        <v>7.8548801574189142E-2</v>
      </c>
      <c r="AB170" s="28">
        <f>PRICE(Table1[[#This Row],[Issue date]],Table1[[#This Row],[Maturity date]],Table1[[#This Row],[Current coupon %]],Table1[[#This Row],[Average Cluster Yield]],100,Table1[[#This Row],[Coupon Frequency2]])*Table1[[#This Row],[Face value]]/100</f>
        <v>106447.04070572714</v>
      </c>
      <c r="AC170" s="27" t="str">
        <f>IF(Table1[[#This Row],[Ask Price]]&gt;Table1[[#This Row],[Calculated Bond Price]],"Rich","Cheap")</f>
        <v>Cheap</v>
      </c>
      <c r="AD170" s="28">
        <f>PRICE(Table1[[#This Row],[Issue date]],Table1[[#This Row],[Maturity date]],Table1[[#This Row],[Current coupon %]],Table1[[#This Row],[Yield (Annualised)]]+$AE$2,100,Table1[[#This Row],[Coupon Frequency2]])*Table1[[#This Row],[Face value]]/100</f>
        <v>100325.39738771408</v>
      </c>
      <c r="AE170" s="28">
        <f>PRICE(Table1[[#This Row],[Issue date]],Table1[[#This Row],[Maturity date]],Table1[[#This Row],[Current coupon %]],Table1[[#This Row],[Yield (Annualised)]]-$AE$2,100,Table1[[#This Row],[Coupon Frequency2]])*Table1[[#This Row],[Face value]]/100</f>
        <v>105471.10013573583</v>
      </c>
      <c r="AF170" s="28">
        <f>(Table1[[#This Row],[P (+ shock)]]+Table1[[#This Row],[P (-shock)]]-2*Table1[[#This Row],[Ask Price]])/(2*Table1[[#This Row],[Ask Price]]*($AE$2^2))</f>
        <v>4.4324339035036777</v>
      </c>
    </row>
    <row r="171" spans="1:32" x14ac:dyDescent="0.25">
      <c r="A171" s="21" t="s">
        <v>416</v>
      </c>
      <c r="B171" s="3" t="s">
        <v>417</v>
      </c>
      <c r="C171" s="3" t="s">
        <v>19</v>
      </c>
      <c r="D171" s="4">
        <v>45488</v>
      </c>
      <c r="E171" s="4">
        <v>46218</v>
      </c>
      <c r="F171" s="3">
        <v>100000</v>
      </c>
      <c r="G171" s="3" t="s">
        <v>20</v>
      </c>
      <c r="H171" s="3">
        <v>99800</v>
      </c>
      <c r="I171" s="3" t="s">
        <v>20</v>
      </c>
      <c r="J171" s="3">
        <v>99.8</v>
      </c>
      <c r="K171" s="3">
        <v>1</v>
      </c>
      <c r="L171" s="5">
        <v>0.10039999999999999</v>
      </c>
      <c r="M171" s="3" t="s">
        <v>53</v>
      </c>
      <c r="N171" s="3">
        <v>301</v>
      </c>
      <c r="O171" s="6">
        <f>Table1[[#This Row],[Current coupon %]]*Table1[[#This Row],[Face value]]/Table1[[#This Row],[Ask Price]]</f>
        <v>0.1006012024048096</v>
      </c>
      <c r="P171" s="3"/>
      <c r="Q171" s="3" t="s">
        <v>22</v>
      </c>
      <c r="R171">
        <f t="shared" si="2"/>
        <v>2</v>
      </c>
      <c r="S171" s="22" cm="1">
        <f t="array" ref="S171">_xlfn.IFS(Table1[[#This Row],[Coupon frequency]]="Semi-annual",2,Table1[[#This Row],[Coupon frequency]]="Quarterly",4,Table1[[#This Row],[Coupon frequency]]="Annual",1,Table1[[#This Row],[Coupon frequency]]="Every 4 months",3,Table1[[#This Row],[Coupon frequency]]="Monthly",12)</f>
        <v>2</v>
      </c>
      <c r="T171">
        <f>Table1[[#This Row],[Term to Maturity (Years)]]*Table1[[#This Row],[Coupon Frequency2]]</f>
        <v>4</v>
      </c>
      <c r="U171">
        <f>Table1[[#This Row],[Face value]]*Table1[[#This Row],[Current coupon %]]/Table1[[#This Row],[Coupon Frequency2]]</f>
        <v>5019.9999999999991</v>
      </c>
      <c r="V171" s="23">
        <f>RATE(Table1[[#This Row],[Total No. of Coupons]],Table1[[#This Row],[Coupon Amount]],-Table1[[#This Row],[Ask Price]],Table1[[#This Row],[Face value]])</f>
        <v>5.0765026322198967E-2</v>
      </c>
      <c r="W171" s="24">
        <f>Table1[[#This Row],[IRR]]*Table1[[#This Row],[Coupon Frequency2]]</f>
        <v>0.10153005264439793</v>
      </c>
      <c r="X171" s="25" cm="1">
        <f t="array" ref="X1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71" s="26">
        <f>DURATION(Table1[[#This Row],[Issue date]],Table1[[#This Row],[Maturity date]],Table1[[#This Row],[Current coupon %]],Table1[[#This Row],[Yield (Annualised)]],Table1[[#This Row],[Coupon Frequency2]])</f>
        <v>1.8609582417312933</v>
      </c>
      <c r="Z171" s="26">
        <f>Table1[[#This Row],[Macaulay Duration in Years]]/(1+Table1[[#This Row],[IRR]])</f>
        <v>1.7710508011908863</v>
      </c>
      <c r="AA171" s="27">
        <f>VLOOKUP(Table1[[#This Row],[Yield Cluster]],'[1]Cluster Details'!$B$3:$C$16,2,0)</f>
        <v>0.11069942689191503</v>
      </c>
      <c r="AB171" s="28">
        <f>PRICE(Table1[[#This Row],[Issue date]],Table1[[#This Row],[Maturity date]],Table1[[#This Row],[Current coupon %]],Table1[[#This Row],[Average Cluster Yield]],100,Table1[[#This Row],[Coupon Frequency2]])*Table1[[#This Row],[Face value]]/100</f>
        <v>98196.403020382946</v>
      </c>
      <c r="AC171" s="27" t="str">
        <f>IF(Table1[[#This Row],[Ask Price]]&gt;Table1[[#This Row],[Calculated Bond Price]],"Rich","Cheap")</f>
        <v>Rich</v>
      </c>
      <c r="AD171" s="28">
        <f>PRICE(Table1[[#This Row],[Issue date]],Table1[[#This Row],[Maturity date]],Table1[[#This Row],[Current coupon %]],Table1[[#This Row],[Yield (Annualised)]]+$AE$2,100,Table1[[#This Row],[Coupon Frequency2]])*Table1[[#This Row],[Face value]]/100</f>
        <v>98052.811432543822</v>
      </c>
      <c r="AE171" s="28">
        <f>PRICE(Table1[[#This Row],[Issue date]],Table1[[#This Row],[Maturity date]],Table1[[#This Row],[Current coupon %]],Table1[[#This Row],[Yield (Annualised)]]-$AE$2,100,Table1[[#This Row],[Coupon Frequency2]])*Table1[[#This Row],[Face value]]/100</f>
        <v>101588.21440954413</v>
      </c>
      <c r="AF171" s="28">
        <f>(Table1[[#This Row],[P (+ shock)]]+Table1[[#This Row],[P (-shock)]]-2*Table1[[#This Row],[Ask Price]])/(2*Table1[[#This Row],[Ask Price]]*($AE$2^2))</f>
        <v>2.0554029102181621</v>
      </c>
    </row>
    <row r="172" spans="1:32" x14ac:dyDescent="0.25">
      <c r="A172" s="21" t="s">
        <v>418</v>
      </c>
      <c r="B172" s="3" t="s">
        <v>419</v>
      </c>
      <c r="C172" s="3" t="s">
        <v>19</v>
      </c>
      <c r="D172" s="4">
        <v>44207</v>
      </c>
      <c r="E172" s="4">
        <v>47858</v>
      </c>
      <c r="F172" s="3">
        <v>1000000</v>
      </c>
      <c r="G172" s="3" t="s">
        <v>20</v>
      </c>
      <c r="H172" s="3">
        <v>1094624.5900000001</v>
      </c>
      <c r="I172" s="3" t="s">
        <v>20</v>
      </c>
      <c r="J172" s="3">
        <v>109.462459</v>
      </c>
      <c r="K172" s="3">
        <v>6</v>
      </c>
      <c r="L172" s="5">
        <v>0.1101</v>
      </c>
      <c r="M172" s="3" t="s">
        <v>44</v>
      </c>
      <c r="N172" s="3">
        <v>1941</v>
      </c>
      <c r="O172" s="6">
        <f>Table1[[#This Row],[Current coupon %]]*Table1[[#This Row],[Face value]]/Table1[[#This Row],[Ask Price]]</f>
        <v>0.10058242890377604</v>
      </c>
      <c r="P172" s="3"/>
      <c r="Q172" s="3" t="s">
        <v>22</v>
      </c>
      <c r="R172">
        <f t="shared" si="2"/>
        <v>10</v>
      </c>
      <c r="S172" s="22" cm="1">
        <f t="array" ref="S172">_xlfn.IFS(Table1[[#This Row],[Coupon frequency]]="Semi-annual",2,Table1[[#This Row],[Coupon frequency]]="Quarterly",4,Table1[[#This Row],[Coupon frequency]]="Annual",1,Table1[[#This Row],[Coupon frequency]]="Every 4 months",3,Table1[[#This Row],[Coupon frequency]]="Monthly",12)</f>
        <v>4</v>
      </c>
      <c r="T172">
        <f>Table1[[#This Row],[Term to Maturity (Years)]]*Table1[[#This Row],[Coupon Frequency2]]</f>
        <v>40</v>
      </c>
      <c r="U172">
        <f>Table1[[#This Row],[Face value]]*Table1[[#This Row],[Current coupon %]]/Table1[[#This Row],[Coupon Frequency2]]</f>
        <v>27525</v>
      </c>
      <c r="V172" s="23">
        <f>RATE(Table1[[#This Row],[Total No. of Coupons]],Table1[[#This Row],[Coupon Amount]],-Table1[[#This Row],[Ask Price]],Table1[[#This Row],[Face value]])</f>
        <v>2.3829442824177899E-2</v>
      </c>
      <c r="W172" s="24">
        <f>Table1[[#This Row],[IRR]]*Table1[[#This Row],[Coupon Frequency2]]</f>
        <v>9.5317771296711595E-2</v>
      </c>
      <c r="X172" s="25" cm="1">
        <f t="array" ref="X1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72" s="26">
        <f>DURATION(Table1[[#This Row],[Issue date]],Table1[[#This Row],[Maturity date]],Table1[[#This Row],[Current coupon %]],Table1[[#This Row],[Yield (Annualised)]],Table1[[#This Row],[Coupon Frequency2]])</f>
        <v>6.3606557995370743</v>
      </c>
      <c r="Z172" s="26">
        <f>Table1[[#This Row],[Macaulay Duration in Years]]/(1+Table1[[#This Row],[IRR]])</f>
        <v>6.2126127004040352</v>
      </c>
      <c r="AA172" s="27">
        <f>VLOOKUP(Table1[[#This Row],[Yield Cluster]],'[1]Cluster Details'!$B$3:$C$16,2,0)</f>
        <v>7.8548801574189142E-2</v>
      </c>
      <c r="AB172" s="28">
        <f>PRICE(Table1[[#This Row],[Issue date]],Table1[[#This Row],[Maturity date]],Table1[[#This Row],[Current coupon %]],Table1[[#This Row],[Average Cluster Yield]],100,Table1[[#This Row],[Coupon Frequency2]])*Table1[[#This Row],[Face value]]/100</f>
        <v>1217111.0362436215</v>
      </c>
      <c r="AC172" s="27" t="str">
        <f>IF(Table1[[#This Row],[Ask Price]]&gt;Table1[[#This Row],[Calculated Bond Price]],"Rich","Cheap")</f>
        <v>Cheap</v>
      </c>
      <c r="AD172" s="28">
        <f>PRICE(Table1[[#This Row],[Issue date]],Table1[[#This Row],[Maturity date]],Table1[[#This Row],[Current coupon %]],Table1[[#This Row],[Yield (Annualised)]]+$AE$2,100,Table1[[#This Row],[Coupon Frequency2]])*Table1[[#This Row],[Face value]]/100</f>
        <v>1029342.3311245553</v>
      </c>
      <c r="AE172" s="28">
        <f>PRICE(Table1[[#This Row],[Issue date]],Table1[[#This Row],[Maturity date]],Table1[[#This Row],[Current coupon %]],Table1[[#This Row],[Yield (Annualised)]]-$AE$2,100,Table1[[#This Row],[Coupon Frequency2]])*Table1[[#This Row],[Face value]]/100</f>
        <v>1165564.7551247524</v>
      </c>
      <c r="AF172" s="28">
        <f>(Table1[[#This Row],[P (+ shock)]]+Table1[[#This Row],[P (-shock)]]-2*Table1[[#This Row],[Ask Price]])/(2*Table1[[#This Row],[Ask Price]]*($AE$2^2))</f>
        <v>25.844048731390007</v>
      </c>
    </row>
    <row r="173" spans="1:32" x14ac:dyDescent="0.25">
      <c r="A173" s="21" t="s">
        <v>420</v>
      </c>
      <c r="B173" s="3" t="s">
        <v>421</v>
      </c>
      <c r="C173" s="3" t="s">
        <v>19</v>
      </c>
      <c r="D173" s="4">
        <v>45589</v>
      </c>
      <c r="E173" s="4">
        <v>47415</v>
      </c>
      <c r="F173" s="3">
        <v>1000</v>
      </c>
      <c r="G173" s="3" t="s">
        <v>20</v>
      </c>
      <c r="H173" s="3">
        <v>1044</v>
      </c>
      <c r="I173" s="3" t="s">
        <v>20</v>
      </c>
      <c r="J173" s="3">
        <v>104.4</v>
      </c>
      <c r="K173" s="3">
        <v>1</v>
      </c>
      <c r="L173" s="5">
        <v>0.105</v>
      </c>
      <c r="M173" s="3" t="s">
        <v>21</v>
      </c>
      <c r="N173" s="3">
        <v>1498</v>
      </c>
      <c r="O173" s="6">
        <f>Table1[[#This Row],[Current coupon %]]*Table1[[#This Row],[Face value]]/Table1[[#This Row],[Ask Price]]</f>
        <v>0.10057471264367816</v>
      </c>
      <c r="P173" s="3"/>
      <c r="Q173" s="3" t="s">
        <v>22</v>
      </c>
      <c r="R173">
        <f t="shared" si="2"/>
        <v>5</v>
      </c>
      <c r="S173" s="22" cm="1">
        <f t="array" ref="S173">_xlfn.IFS(Table1[[#This Row],[Coupon frequency]]="Semi-annual",2,Table1[[#This Row],[Coupon frequency]]="Quarterly",4,Table1[[#This Row],[Coupon frequency]]="Annual",1,Table1[[#This Row],[Coupon frequency]]="Every 4 months",3,Table1[[#This Row],[Coupon frequency]]="Monthly",12)</f>
        <v>1</v>
      </c>
      <c r="T173">
        <f>Table1[[#This Row],[Term to Maturity (Years)]]*Table1[[#This Row],[Coupon Frequency2]]</f>
        <v>5</v>
      </c>
      <c r="U173">
        <f>Table1[[#This Row],[Face value]]*Table1[[#This Row],[Current coupon %]]/Table1[[#This Row],[Coupon Frequency2]]</f>
        <v>105</v>
      </c>
      <c r="V173" s="23">
        <f>RATE(Table1[[#This Row],[Total No. of Coupons]],Table1[[#This Row],[Coupon Amount]],-Table1[[#This Row],[Ask Price]],Table1[[#This Row],[Face value]])</f>
        <v>9.3582584432573099E-2</v>
      </c>
      <c r="W173" s="24">
        <f>Table1[[#This Row],[IRR]]*Table1[[#This Row],[Coupon Frequency2]]</f>
        <v>9.3582584432573099E-2</v>
      </c>
      <c r="X173" s="25" cm="1">
        <f t="array" ref="X17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73" s="26">
        <f>DURATION(Table1[[#This Row],[Issue date]],Table1[[#This Row],[Maturity date]],Table1[[#This Row],[Current coupon %]],Table1[[#This Row],[Yield (Annualised)]],Table1[[#This Row],[Coupon Frequency2]])</f>
        <v>4.155710310594718</v>
      </c>
      <c r="Z173" s="26">
        <f>Table1[[#This Row],[Macaulay Duration in Years]]/(1+Table1[[#This Row],[IRR]])</f>
        <v>3.8000882327062575</v>
      </c>
      <c r="AA173" s="27">
        <f>VLOOKUP(Table1[[#This Row],[Yield Cluster]],'[1]Cluster Details'!$B$3:$C$16,2,0)</f>
        <v>7.8548801574189142E-2</v>
      </c>
      <c r="AB173" s="28">
        <f>PRICE(Table1[[#This Row],[Issue date]],Table1[[#This Row],[Maturity date]],Table1[[#This Row],[Current coupon %]],Table1[[#This Row],[Average Cluster Yield]],100,Table1[[#This Row],[Coupon Frequency2]])*Table1[[#This Row],[Face value]]/100</f>
        <v>1106.0171475719424</v>
      </c>
      <c r="AC173" s="27" t="str">
        <f>IF(Table1[[#This Row],[Ask Price]]&gt;Table1[[#This Row],[Calculated Bond Price]],"Rich","Cheap")</f>
        <v>Cheap</v>
      </c>
      <c r="AD173" s="28">
        <f>PRICE(Table1[[#This Row],[Issue date]],Table1[[#This Row],[Maturity date]],Table1[[#This Row],[Current coupon %]],Table1[[#This Row],[Yield (Annualised)]]+$AE$2,100,Table1[[#This Row],[Coupon Frequency2]])*Table1[[#This Row],[Face value]]/100</f>
        <v>1005.3243030048922</v>
      </c>
      <c r="AE173" s="28">
        <f>PRICE(Table1[[#This Row],[Issue date]],Table1[[#This Row],[Maturity date]],Table1[[#This Row],[Current coupon %]],Table1[[#This Row],[Yield (Annualised)]]-$AE$2,100,Table1[[#This Row],[Coupon Frequency2]])*Table1[[#This Row],[Face value]]/100</f>
        <v>1084.7121280846438</v>
      </c>
      <c r="AF173" s="28">
        <f>(Table1[[#This Row],[P (+ shock)]]+Table1[[#This Row],[P (-shock)]]-2*Table1[[#This Row],[Ask Price]])/(2*Table1[[#This Row],[Ask Price]]*($AE$2^2))</f>
        <v>9.7530224594641215</v>
      </c>
    </row>
    <row r="174" spans="1:32" x14ac:dyDescent="0.25">
      <c r="A174" s="21" t="s">
        <v>422</v>
      </c>
      <c r="B174" s="3" t="s">
        <v>423</v>
      </c>
      <c r="C174" s="3" t="s">
        <v>19</v>
      </c>
      <c r="D174" s="4">
        <v>45573</v>
      </c>
      <c r="E174" s="4">
        <v>47399</v>
      </c>
      <c r="F174" s="3">
        <v>1000</v>
      </c>
      <c r="G174" s="3" t="s">
        <v>20</v>
      </c>
      <c r="H174" s="3">
        <v>1044.1500000000001</v>
      </c>
      <c r="I174" s="3" t="s">
        <v>20</v>
      </c>
      <c r="J174" s="3">
        <v>104.41500000000001</v>
      </c>
      <c r="K174" s="3">
        <v>680</v>
      </c>
      <c r="L174" s="5">
        <v>0.105</v>
      </c>
      <c r="M174" s="3" t="s">
        <v>21</v>
      </c>
      <c r="N174" s="3">
        <v>1482</v>
      </c>
      <c r="O174" s="6">
        <f>Table1[[#This Row],[Current coupon %]]*Table1[[#This Row],[Face value]]/Table1[[#This Row],[Ask Price]]</f>
        <v>0.10056026432983765</v>
      </c>
      <c r="P174" s="3"/>
      <c r="Q174" s="3" t="s">
        <v>22</v>
      </c>
      <c r="R174">
        <f t="shared" si="2"/>
        <v>5</v>
      </c>
      <c r="S174" s="22" cm="1">
        <f t="array" ref="S174">_xlfn.IFS(Table1[[#This Row],[Coupon frequency]]="Semi-annual",2,Table1[[#This Row],[Coupon frequency]]="Quarterly",4,Table1[[#This Row],[Coupon frequency]]="Annual",1,Table1[[#This Row],[Coupon frequency]]="Every 4 months",3,Table1[[#This Row],[Coupon frequency]]="Monthly",12)</f>
        <v>1</v>
      </c>
      <c r="T174">
        <f>Table1[[#This Row],[Term to Maturity (Years)]]*Table1[[#This Row],[Coupon Frequency2]]</f>
        <v>5</v>
      </c>
      <c r="U174">
        <f>Table1[[#This Row],[Face value]]*Table1[[#This Row],[Current coupon %]]/Table1[[#This Row],[Coupon Frequency2]]</f>
        <v>105</v>
      </c>
      <c r="V174" s="23">
        <f>RATE(Table1[[#This Row],[Total No. of Coupons]],Table1[[#This Row],[Coupon Amount]],-Table1[[#This Row],[Ask Price]],Table1[[#This Row],[Face value]])</f>
        <v>9.3544778935273812E-2</v>
      </c>
      <c r="W174" s="24">
        <f>Table1[[#This Row],[IRR]]*Table1[[#This Row],[Coupon Frequency2]]</f>
        <v>9.3544778935273812E-2</v>
      </c>
      <c r="X174" s="25" cm="1">
        <f t="array" ref="X17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74" s="26">
        <f>DURATION(Table1[[#This Row],[Issue date]],Table1[[#This Row],[Maturity date]],Table1[[#This Row],[Current coupon %]],Table1[[#This Row],[Yield (Annualised)]],Table1[[#This Row],[Coupon Frequency2]])</f>
        <v>4.1557757676135312</v>
      </c>
      <c r="Z174" s="26">
        <f>Table1[[#This Row],[Macaulay Duration in Years]]/(1+Table1[[#This Row],[IRR]])</f>
        <v>3.8002794651534875</v>
      </c>
      <c r="AA174" s="27">
        <f>VLOOKUP(Table1[[#This Row],[Yield Cluster]],'[1]Cluster Details'!$B$3:$C$16,2,0)</f>
        <v>7.8548801574189142E-2</v>
      </c>
      <c r="AB174" s="28">
        <f>PRICE(Table1[[#This Row],[Issue date]],Table1[[#This Row],[Maturity date]],Table1[[#This Row],[Current coupon %]],Table1[[#This Row],[Average Cluster Yield]],100,Table1[[#This Row],[Coupon Frequency2]])*Table1[[#This Row],[Face value]]/100</f>
        <v>1106.0171475719424</v>
      </c>
      <c r="AC174" s="27" t="str">
        <f>IF(Table1[[#This Row],[Ask Price]]&gt;Table1[[#This Row],[Calculated Bond Price]],"Rich","Cheap")</f>
        <v>Cheap</v>
      </c>
      <c r="AD174" s="28">
        <f>PRICE(Table1[[#This Row],[Issue date]],Table1[[#This Row],[Maturity date]],Table1[[#This Row],[Current coupon %]],Table1[[#This Row],[Yield (Annualised)]]+$AE$2,100,Table1[[#This Row],[Coupon Frequency2]])*Table1[[#This Row],[Face value]]/100</f>
        <v>1005.4668385868969</v>
      </c>
      <c r="AE174" s="28">
        <f>PRICE(Table1[[#This Row],[Issue date]],Table1[[#This Row],[Maturity date]],Table1[[#This Row],[Current coupon %]],Table1[[#This Row],[Yield (Annualised)]]-$AE$2,100,Table1[[#This Row],[Coupon Frequency2]])*Table1[[#This Row],[Face value]]/100</f>
        <v>1084.8700688134411</v>
      </c>
      <c r="AF174" s="28">
        <f>(Table1[[#This Row],[P (+ shock)]]+Table1[[#This Row],[P (-shock)]]-2*Table1[[#This Row],[Ask Price]])/(2*Table1[[#This Row],[Ask Price]]*($AE$2^2))</f>
        <v>9.7539022187324402</v>
      </c>
    </row>
    <row r="175" spans="1:32" x14ac:dyDescent="0.25">
      <c r="A175" s="21" t="s">
        <v>424</v>
      </c>
      <c r="B175" s="3" t="s">
        <v>425</v>
      </c>
      <c r="C175" s="3" t="s">
        <v>19</v>
      </c>
      <c r="D175" s="4">
        <v>44315</v>
      </c>
      <c r="E175" s="4">
        <v>47967</v>
      </c>
      <c r="F175" s="3">
        <v>1000</v>
      </c>
      <c r="G175" s="3" t="s">
        <v>20</v>
      </c>
      <c r="H175" s="3">
        <v>965</v>
      </c>
      <c r="I175" s="3" t="s">
        <v>20</v>
      </c>
      <c r="J175" s="3">
        <v>96.5</v>
      </c>
      <c r="K175" s="3">
        <v>1</v>
      </c>
      <c r="L175" s="5">
        <v>9.6999999999999989E-2</v>
      </c>
      <c r="M175" s="3" t="s">
        <v>21</v>
      </c>
      <c r="N175" s="3">
        <v>2050</v>
      </c>
      <c r="O175" s="6">
        <f>Table1[[#This Row],[Current coupon %]]*Table1[[#This Row],[Face value]]/Table1[[#This Row],[Ask Price]]</f>
        <v>0.10051813471502589</v>
      </c>
      <c r="P175" s="3"/>
      <c r="Q175" s="3" t="s">
        <v>22</v>
      </c>
      <c r="R175">
        <f t="shared" si="2"/>
        <v>10</v>
      </c>
      <c r="S175" s="22" cm="1">
        <f t="array" ref="S175">_xlfn.IFS(Table1[[#This Row],[Coupon frequency]]="Semi-annual",2,Table1[[#This Row],[Coupon frequency]]="Quarterly",4,Table1[[#This Row],[Coupon frequency]]="Annual",1,Table1[[#This Row],[Coupon frequency]]="Every 4 months",3,Table1[[#This Row],[Coupon frequency]]="Monthly",12)</f>
        <v>1</v>
      </c>
      <c r="T175">
        <f>Table1[[#This Row],[Term to Maturity (Years)]]*Table1[[#This Row],[Coupon Frequency2]]</f>
        <v>10</v>
      </c>
      <c r="U175">
        <f>Table1[[#This Row],[Face value]]*Table1[[#This Row],[Current coupon %]]/Table1[[#This Row],[Coupon Frequency2]]</f>
        <v>96.999999999999986</v>
      </c>
      <c r="V175" s="23">
        <f>RATE(Table1[[#This Row],[Total No. of Coupons]],Table1[[#This Row],[Coupon Amount]],-Table1[[#This Row],[Ask Price]],Table1[[#This Row],[Face value]])</f>
        <v>0.10276389470028385</v>
      </c>
      <c r="W175" s="24">
        <f>Table1[[#This Row],[IRR]]*Table1[[#This Row],[Coupon Frequency2]]</f>
        <v>0.10276389470028385</v>
      </c>
      <c r="X175" s="25" cm="1">
        <f t="array" ref="X17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75" s="26">
        <f>DURATION(Table1[[#This Row],[Issue date]],Table1[[#This Row],[Maturity date]],Table1[[#This Row],[Current coupon %]],Table1[[#This Row],[Yield (Annualised)]],Table1[[#This Row],[Coupon Frequency2]])</f>
        <v>6.7684923131819055</v>
      </c>
      <c r="Z175" s="26">
        <f>Table1[[#This Row],[Macaulay Duration in Years]]/(1+Table1[[#This Row],[IRR]])</f>
        <v>6.1377529185623994</v>
      </c>
      <c r="AA175" s="27">
        <f>VLOOKUP(Table1[[#This Row],[Yield Cluster]],'[1]Cluster Details'!$B$3:$C$16,2,0)</f>
        <v>0.11069942689191503</v>
      </c>
      <c r="AB175" s="28">
        <f>PRICE(Table1[[#This Row],[Issue date]],Table1[[#This Row],[Maturity date]],Table1[[#This Row],[Current coupon %]],Table1[[#This Row],[Average Cluster Yield]],100,Table1[[#This Row],[Coupon Frequency2]])*Table1[[#This Row],[Face value]]/100</f>
        <v>919.55696778026208</v>
      </c>
      <c r="AC175" s="27" t="str">
        <f>IF(Table1[[#This Row],[Ask Price]]&gt;Table1[[#This Row],[Calculated Bond Price]],"Rich","Cheap")</f>
        <v>Rich</v>
      </c>
      <c r="AD175" s="28">
        <f>PRICE(Table1[[#This Row],[Issue date]],Table1[[#This Row],[Maturity date]],Table1[[#This Row],[Current coupon %]],Table1[[#This Row],[Yield (Annualised)]]+$AE$2,100,Table1[[#This Row],[Coupon Frequency2]])*Table1[[#This Row],[Face value]]/100</f>
        <v>908.22895273241443</v>
      </c>
      <c r="AE175" s="28">
        <f>PRICE(Table1[[#This Row],[Issue date]],Table1[[#This Row],[Maturity date]],Table1[[#This Row],[Current coupon %]],Table1[[#This Row],[Yield (Annualised)]]-$AE$2,100,Table1[[#This Row],[Coupon Frequency2]])*Table1[[#This Row],[Face value]]/100</f>
        <v>1026.858242171244</v>
      </c>
      <c r="AF175" s="28">
        <f>(Table1[[#This Row],[P (+ shock)]]+Table1[[#This Row],[P (-shock)]]-2*Table1[[#This Row],[Ask Price]])/(2*Table1[[#This Row],[Ask Price]]*($AE$2^2))</f>
        <v>26.358522816883049</v>
      </c>
    </row>
    <row r="176" spans="1:32" x14ac:dyDescent="0.25">
      <c r="A176" s="21" t="s">
        <v>426</v>
      </c>
      <c r="B176" s="3" t="s">
        <v>427</v>
      </c>
      <c r="C176" s="3" t="s">
        <v>19</v>
      </c>
      <c r="D176" s="4">
        <v>44868</v>
      </c>
      <c r="E176" s="4">
        <v>46694</v>
      </c>
      <c r="F176" s="3">
        <v>1000</v>
      </c>
      <c r="G176" s="3" t="s">
        <v>20</v>
      </c>
      <c r="H176" s="3">
        <v>950.2</v>
      </c>
      <c r="I176" s="3" t="s">
        <v>20</v>
      </c>
      <c r="J176" s="3">
        <v>95.02</v>
      </c>
      <c r="K176" s="3">
        <v>65</v>
      </c>
      <c r="L176" s="5">
        <v>9.5500000000000002E-2</v>
      </c>
      <c r="M176" s="3" t="s">
        <v>21</v>
      </c>
      <c r="N176" s="3">
        <v>777</v>
      </c>
      <c r="O176" s="6">
        <f>Table1[[#This Row],[Current coupon %]]*Table1[[#This Row],[Face value]]/Table1[[#This Row],[Ask Price]]</f>
        <v>0.10050515680909282</v>
      </c>
      <c r="P176" s="3" t="s">
        <v>25</v>
      </c>
      <c r="Q176" s="3" t="s">
        <v>22</v>
      </c>
      <c r="R176">
        <f t="shared" si="2"/>
        <v>5</v>
      </c>
      <c r="S176" s="22" cm="1">
        <f t="array" ref="S176">_xlfn.IFS(Table1[[#This Row],[Coupon frequency]]="Semi-annual",2,Table1[[#This Row],[Coupon frequency]]="Quarterly",4,Table1[[#This Row],[Coupon frequency]]="Annual",1,Table1[[#This Row],[Coupon frequency]]="Every 4 months",3,Table1[[#This Row],[Coupon frequency]]="Monthly",12)</f>
        <v>1</v>
      </c>
      <c r="T176">
        <f>Table1[[#This Row],[Term to Maturity (Years)]]*Table1[[#This Row],[Coupon Frequency2]]</f>
        <v>5</v>
      </c>
      <c r="U176">
        <f>Table1[[#This Row],[Face value]]*Table1[[#This Row],[Current coupon %]]/Table1[[#This Row],[Coupon Frequency2]]</f>
        <v>95.5</v>
      </c>
      <c r="V176" s="23">
        <f>RATE(Table1[[#This Row],[Total No. of Coupons]],Table1[[#This Row],[Coupon Amount]],-Table1[[#This Row],[Ask Price]],Table1[[#This Row],[Face value]])</f>
        <v>0.10893843792609179</v>
      </c>
      <c r="W176" s="24">
        <f>Table1[[#This Row],[IRR]]*Table1[[#This Row],[Coupon Frequency2]]</f>
        <v>0.10893843792609179</v>
      </c>
      <c r="X176" s="25" cm="1">
        <f t="array" ref="X17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76" s="26">
        <f>DURATION(Table1[[#This Row],[Issue date]],Table1[[#This Row],[Maturity date]],Table1[[#This Row],[Current coupon %]],Table1[[#This Row],[Yield (Annualised)]],Table1[[#This Row],[Coupon Frequency2]])</f>
        <v>4.1784278392256358</v>
      </c>
      <c r="Z176" s="26">
        <f>Table1[[#This Row],[Macaulay Duration in Years]]/(1+Table1[[#This Row],[IRR]])</f>
        <v>3.767952932572185</v>
      </c>
      <c r="AA176" s="27">
        <f>VLOOKUP(Table1[[#This Row],[Yield Cluster]],'[1]Cluster Details'!$B$3:$C$16,2,0)</f>
        <v>0.11069942689191503</v>
      </c>
      <c r="AB176" s="28">
        <f>PRICE(Table1[[#This Row],[Issue date]],Table1[[#This Row],[Maturity date]],Table1[[#This Row],[Current coupon %]],Table1[[#This Row],[Average Cluster Yield]],100,Table1[[#This Row],[Coupon Frequency2]])*Table1[[#This Row],[Face value]]/100</f>
        <v>943.92318114391207</v>
      </c>
      <c r="AC176" s="27" t="str">
        <f>IF(Table1[[#This Row],[Ask Price]]&gt;Table1[[#This Row],[Calculated Bond Price]],"Rich","Cheap")</f>
        <v>Rich</v>
      </c>
      <c r="AD176" s="28">
        <f>PRICE(Table1[[#This Row],[Issue date]],Table1[[#This Row],[Maturity date]],Table1[[#This Row],[Current coupon %]],Table1[[#This Row],[Yield (Annualised)]]+$AE$2,100,Table1[[#This Row],[Coupon Frequency2]])*Table1[[#This Row],[Face value]]/100</f>
        <v>915.28700896272539</v>
      </c>
      <c r="AE176" s="28">
        <f>PRICE(Table1[[#This Row],[Issue date]],Table1[[#This Row],[Maturity date]],Table1[[#This Row],[Current coupon %]],Table1[[#This Row],[Yield (Annualised)]]-$AE$2,100,Table1[[#This Row],[Coupon Frequency2]])*Table1[[#This Row],[Face value]]/100</f>
        <v>986.93018953009334</v>
      </c>
      <c r="AF176" s="28">
        <f>(Table1[[#This Row],[P (+ shock)]]+Table1[[#This Row],[P (-shock)]]-2*Table1[[#This Row],[Ask Price]])/(2*Table1[[#This Row],[Ask Price]]*($AE$2^2))</f>
        <v>9.5621895012551761</v>
      </c>
    </row>
    <row r="177" spans="1:32" x14ac:dyDescent="0.25">
      <c r="A177" s="21" t="s">
        <v>428</v>
      </c>
      <c r="B177" s="3" t="s">
        <v>429</v>
      </c>
      <c r="C177" s="3" t="s">
        <v>19</v>
      </c>
      <c r="D177" s="4">
        <v>45455</v>
      </c>
      <c r="E177" s="4">
        <v>46916</v>
      </c>
      <c r="F177" s="3">
        <v>100000</v>
      </c>
      <c r="G177" s="3" t="s">
        <v>20</v>
      </c>
      <c r="H177" s="3">
        <v>99000</v>
      </c>
      <c r="I177" s="3" t="s">
        <v>20</v>
      </c>
      <c r="J177" s="3">
        <v>99</v>
      </c>
      <c r="K177" s="3">
        <v>5</v>
      </c>
      <c r="L177" s="5">
        <v>9.9499999999999991E-2</v>
      </c>
      <c r="M177" s="3" t="s">
        <v>21</v>
      </c>
      <c r="N177" s="3">
        <v>999</v>
      </c>
      <c r="O177" s="6">
        <f>Table1[[#This Row],[Current coupon %]]*Table1[[#This Row],[Face value]]/Table1[[#This Row],[Ask Price]]</f>
        <v>0.1005050505050505</v>
      </c>
      <c r="P177" s="3"/>
      <c r="Q177" s="3" t="s">
        <v>22</v>
      </c>
      <c r="R177">
        <f t="shared" si="2"/>
        <v>4</v>
      </c>
      <c r="S177" s="22" cm="1">
        <f t="array" ref="S177">_xlfn.IFS(Table1[[#This Row],[Coupon frequency]]="Semi-annual",2,Table1[[#This Row],[Coupon frequency]]="Quarterly",4,Table1[[#This Row],[Coupon frequency]]="Annual",1,Table1[[#This Row],[Coupon frequency]]="Every 4 months",3,Table1[[#This Row],[Coupon frequency]]="Monthly",12)</f>
        <v>1</v>
      </c>
      <c r="T177">
        <f>Table1[[#This Row],[Term to Maturity (Years)]]*Table1[[#This Row],[Coupon Frequency2]]</f>
        <v>4</v>
      </c>
      <c r="U177">
        <f>Table1[[#This Row],[Face value]]*Table1[[#This Row],[Current coupon %]]/Table1[[#This Row],[Coupon Frequency2]]</f>
        <v>9950</v>
      </c>
      <c r="V177" s="23">
        <f>RATE(Table1[[#This Row],[Total No. of Coupons]],Table1[[#This Row],[Coupon Amount]],-Table1[[#This Row],[Ask Price]],Table1[[#This Row],[Face value]])</f>
        <v>0.1026729808482888</v>
      </c>
      <c r="W177" s="24">
        <f>Table1[[#This Row],[IRR]]*Table1[[#This Row],[Coupon Frequency2]]</f>
        <v>0.1026729808482888</v>
      </c>
      <c r="X177" s="25" cm="1">
        <f t="array" ref="X17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77" s="26">
        <f>DURATION(Table1[[#This Row],[Issue date]],Table1[[#This Row],[Maturity date]],Table1[[#This Row],[Current coupon %]],Table1[[#This Row],[Yield (Annualised)]],Table1[[#This Row],[Coupon Frequency2]])</f>
        <v>3.4862770194543447</v>
      </c>
      <c r="Z177" s="26">
        <f>Table1[[#This Row],[Macaulay Duration in Years]]/(1+Table1[[#This Row],[IRR]])</f>
        <v>3.1616599662869618</v>
      </c>
      <c r="AA177" s="27">
        <f>VLOOKUP(Table1[[#This Row],[Yield Cluster]],'[1]Cluster Details'!$B$3:$C$16,2,0)</f>
        <v>0.11069942689191503</v>
      </c>
      <c r="AB177" s="28">
        <f>PRICE(Table1[[#This Row],[Issue date]],Table1[[#This Row],[Maturity date]],Table1[[#This Row],[Current coupon %]],Table1[[#This Row],[Average Cluster Yield]],100,Table1[[#This Row],[Coupon Frequency2]])*Table1[[#This Row],[Face value]]/100</f>
        <v>96530.620976290738</v>
      </c>
      <c r="AC177" s="27" t="str">
        <f>IF(Table1[[#This Row],[Ask Price]]&gt;Table1[[#This Row],[Calculated Bond Price]],"Rich","Cheap")</f>
        <v>Rich</v>
      </c>
      <c r="AD177" s="28">
        <f>PRICE(Table1[[#This Row],[Issue date]],Table1[[#This Row],[Maturity date]],Table1[[#This Row],[Current coupon %]],Table1[[#This Row],[Yield (Annualised)]]+$AE$2,100,Table1[[#This Row],[Coupon Frequency2]])*Table1[[#This Row],[Face value]]/100</f>
        <v>95936.369233736477</v>
      </c>
      <c r="AE177" s="28">
        <f>PRICE(Table1[[#This Row],[Issue date]],Table1[[#This Row],[Maturity date]],Table1[[#This Row],[Current coupon %]],Table1[[#This Row],[Yield (Annualised)]]-$AE$2,100,Table1[[#This Row],[Coupon Frequency2]])*Table1[[#This Row],[Face value]]/100</f>
        <v>102198.84835127962</v>
      </c>
      <c r="AF177" s="28">
        <f>(Table1[[#This Row],[P (+ shock)]]+Table1[[#This Row],[P (-shock)]]-2*Table1[[#This Row],[Ask Price]])/(2*Table1[[#This Row],[Ask Price]]*($AE$2^2))</f>
        <v>6.8291709604091011</v>
      </c>
    </row>
    <row r="178" spans="1:32" x14ac:dyDescent="0.25">
      <c r="A178" s="21" t="s">
        <v>430</v>
      </c>
      <c r="B178" s="3" t="s">
        <v>431</v>
      </c>
      <c r="C178" s="3" t="s">
        <v>19</v>
      </c>
      <c r="D178" s="4">
        <v>45350</v>
      </c>
      <c r="E178" s="4">
        <v>46081</v>
      </c>
      <c r="F178" s="3">
        <v>100000</v>
      </c>
      <c r="G178" s="3" t="s">
        <v>20</v>
      </c>
      <c r="H178" s="3">
        <v>99000</v>
      </c>
      <c r="I178" s="3" t="s">
        <v>20</v>
      </c>
      <c r="J178" s="3">
        <v>99</v>
      </c>
      <c r="K178" s="3">
        <v>1</v>
      </c>
      <c r="L178" s="5">
        <v>9.9499999999999991E-2</v>
      </c>
      <c r="M178" s="3" t="s">
        <v>44</v>
      </c>
      <c r="N178" s="3">
        <v>164</v>
      </c>
      <c r="O178" s="6">
        <f>Table1[[#This Row],[Current coupon %]]*Table1[[#This Row],[Face value]]/Table1[[#This Row],[Ask Price]]</f>
        <v>0.1005050505050505</v>
      </c>
      <c r="P178" s="3"/>
      <c r="Q178" s="3" t="s">
        <v>22</v>
      </c>
      <c r="R178">
        <f t="shared" si="2"/>
        <v>2</v>
      </c>
      <c r="S178" s="22" cm="1">
        <f t="array" ref="S178">_xlfn.IFS(Table1[[#This Row],[Coupon frequency]]="Semi-annual",2,Table1[[#This Row],[Coupon frequency]]="Quarterly",4,Table1[[#This Row],[Coupon frequency]]="Annual",1,Table1[[#This Row],[Coupon frequency]]="Every 4 months",3,Table1[[#This Row],[Coupon frequency]]="Monthly",12)</f>
        <v>4</v>
      </c>
      <c r="T178">
        <f>Table1[[#This Row],[Term to Maturity (Years)]]*Table1[[#This Row],[Coupon Frequency2]]</f>
        <v>8</v>
      </c>
      <c r="U178">
        <f>Table1[[#This Row],[Face value]]*Table1[[#This Row],[Current coupon %]]/Table1[[#This Row],[Coupon Frequency2]]</f>
        <v>2487.5</v>
      </c>
      <c r="V178" s="23">
        <f>RATE(Table1[[#This Row],[Total No. of Coupons]],Table1[[#This Row],[Coupon Amount]],-Table1[[#This Row],[Ask Price]],Table1[[#This Row],[Face value]])</f>
        <v>2.6277279302242999E-2</v>
      </c>
      <c r="W178" s="24">
        <f>Table1[[#This Row],[IRR]]*Table1[[#This Row],[Coupon Frequency2]]</f>
        <v>0.10510911720897199</v>
      </c>
      <c r="X178" s="25" cm="1">
        <f t="array" ref="X17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78" s="26">
        <f>DURATION(Table1[[#This Row],[Issue date]],Table1[[#This Row],[Maturity date]],Table1[[#This Row],[Current coupon %]],Table1[[#This Row],[Yield (Annualised)]],Table1[[#This Row],[Coupon Frequency2]])</f>
        <v>1.7976475549659077</v>
      </c>
      <c r="Z178" s="26">
        <f>Table1[[#This Row],[Macaulay Duration in Years]]/(1+Table1[[#This Row],[IRR]])</f>
        <v>1.7516197534725826</v>
      </c>
      <c r="AA178" s="27">
        <f>VLOOKUP(Table1[[#This Row],[Yield Cluster]],'[1]Cluster Details'!$B$3:$C$16,2,0)</f>
        <v>0.11069942689191503</v>
      </c>
      <c r="AB178" s="28">
        <f>PRICE(Table1[[#This Row],[Issue date]],Table1[[#This Row],[Maturity date]],Table1[[#This Row],[Current coupon %]],Table1[[#This Row],[Average Cluster Yield]],100,Table1[[#This Row],[Coupon Frequency2]])*Table1[[#This Row],[Face value]]/100</f>
        <v>98009.493052596285</v>
      </c>
      <c r="AC178" s="27" t="str">
        <f>IF(Table1[[#This Row],[Ask Price]]&gt;Table1[[#This Row],[Calculated Bond Price]],"Rich","Cheap")</f>
        <v>Rich</v>
      </c>
      <c r="AD178" s="28">
        <f>PRICE(Table1[[#This Row],[Issue date]],Table1[[#This Row],[Maturity date]],Table1[[#This Row],[Current coupon %]],Table1[[#This Row],[Yield (Annualised)]]+$AE$2,100,Table1[[#This Row],[Coupon Frequency2]])*Table1[[#This Row],[Face value]]/100</f>
        <v>97238.954535780882</v>
      </c>
      <c r="AE178" s="28">
        <f>PRICE(Table1[[#This Row],[Issue date]],Table1[[#This Row],[Maturity date]],Table1[[#This Row],[Current coupon %]],Table1[[#This Row],[Yield (Annualised)]]-$AE$2,100,Table1[[#This Row],[Coupon Frequency2]])*Table1[[#This Row],[Face value]]/100</f>
        <v>100792.56008950155</v>
      </c>
      <c r="AF178" s="28">
        <f>(Table1[[#This Row],[P (+ shock)]]+Table1[[#This Row],[P (-shock)]]-2*Table1[[#This Row],[Ask Price]])/(2*Table1[[#This Row],[Ask Price]]*($AE$2^2))</f>
        <v>1.5916477415370849</v>
      </c>
    </row>
    <row r="179" spans="1:32" x14ac:dyDescent="0.25">
      <c r="A179" s="21" t="s">
        <v>432</v>
      </c>
      <c r="B179" s="3" t="s">
        <v>395</v>
      </c>
      <c r="C179" s="3" t="s">
        <v>19</v>
      </c>
      <c r="D179" s="4">
        <v>45589</v>
      </c>
      <c r="E179" s="4">
        <v>49241</v>
      </c>
      <c r="F179" s="3">
        <v>1000</v>
      </c>
      <c r="G179" s="3" t="s">
        <v>20</v>
      </c>
      <c r="H179" s="3">
        <v>1050</v>
      </c>
      <c r="I179" s="3" t="s">
        <v>20</v>
      </c>
      <c r="J179" s="3">
        <v>105</v>
      </c>
      <c r="K179" s="3">
        <v>100</v>
      </c>
      <c r="L179" s="5">
        <v>0.11</v>
      </c>
      <c r="M179" s="3" t="s">
        <v>21</v>
      </c>
      <c r="N179" s="3">
        <v>3324</v>
      </c>
      <c r="O179" s="6">
        <f>Table1[[#This Row],[Current coupon %]]*Table1[[#This Row],[Face value]]/Table1[[#This Row],[Ask Price]]</f>
        <v>0.10476190476190476</v>
      </c>
      <c r="P179" s="3"/>
      <c r="Q179" s="3" t="s">
        <v>22</v>
      </c>
      <c r="R179">
        <f t="shared" si="2"/>
        <v>10</v>
      </c>
      <c r="S179" s="22" cm="1">
        <f t="array" ref="S179">_xlfn.IFS(Table1[[#This Row],[Coupon frequency]]="Semi-annual",2,Table1[[#This Row],[Coupon frequency]]="Quarterly",4,Table1[[#This Row],[Coupon frequency]]="Annual",1,Table1[[#This Row],[Coupon frequency]]="Every 4 months",3,Table1[[#This Row],[Coupon frequency]]="Monthly",12)</f>
        <v>1</v>
      </c>
      <c r="T179">
        <f>Table1[[#This Row],[Term to Maturity (Years)]]*Table1[[#This Row],[Coupon Frequency2]]</f>
        <v>10</v>
      </c>
      <c r="U179">
        <f>Table1[[#This Row],[Face value]]*Table1[[#This Row],[Current coupon %]]/Table1[[#This Row],[Coupon Frequency2]]</f>
        <v>110</v>
      </c>
      <c r="V179" s="23">
        <f>RATE(Table1[[#This Row],[Total No. of Coupons]],Table1[[#This Row],[Coupon Amount]],-Table1[[#This Row],[Ask Price]],Table1[[#This Row],[Face value]])</f>
        <v>0.10179971261601069</v>
      </c>
      <c r="W179" s="24">
        <f>Table1[[#This Row],[IRR]]*Table1[[#This Row],[Coupon Frequency2]]</f>
        <v>0.10179971261601069</v>
      </c>
      <c r="X179" s="25" cm="1">
        <f t="array" ref="X17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79" s="26">
        <f>DURATION(Table1[[#This Row],[Issue date]],Table1[[#This Row],[Maturity date]],Table1[[#This Row],[Current coupon %]],Table1[[#This Row],[Yield (Annualised)]],Table1[[#This Row],[Coupon Frequency2]])</f>
        <v>6.6225566852958462</v>
      </c>
      <c r="Z179" s="26">
        <f>Table1[[#This Row],[Macaulay Duration in Years]]/(1+Table1[[#This Row],[IRR]])</f>
        <v>6.0106720027833953</v>
      </c>
      <c r="AA179" s="27">
        <f>VLOOKUP(Table1[[#This Row],[Yield Cluster]],'[1]Cluster Details'!$B$3:$C$16,2,0)</f>
        <v>0.11069942689191503</v>
      </c>
      <c r="AB179" s="28">
        <f>PRICE(Table1[[#This Row],[Issue date]],Table1[[#This Row],[Maturity date]],Table1[[#This Row],[Current coupon %]],Table1[[#This Row],[Average Cluster Yield]],100,Table1[[#This Row],[Coupon Frequency2]])*Table1[[#This Row],[Face value]]/100</f>
        <v>995.89296541778106</v>
      </c>
      <c r="AC179" s="27" t="str">
        <f>IF(Table1[[#This Row],[Ask Price]]&gt;Table1[[#This Row],[Calculated Bond Price]],"Rich","Cheap")</f>
        <v>Rich</v>
      </c>
      <c r="AD179" s="28">
        <f>PRICE(Table1[[#This Row],[Issue date]],Table1[[#This Row],[Maturity date]],Table1[[#This Row],[Current coupon %]],Table1[[#This Row],[Yield (Annualised)]]+$AE$2,100,Table1[[#This Row],[Coupon Frequency2]])*Table1[[#This Row],[Face value]]/100</f>
        <v>989.48058644522632</v>
      </c>
      <c r="AE179" s="28">
        <f>PRICE(Table1[[#This Row],[Issue date]],Table1[[#This Row],[Maturity date]],Table1[[#This Row],[Current coupon %]],Table1[[#This Row],[Yield (Annualised)]]-$AE$2,100,Table1[[#This Row],[Coupon Frequency2]])*Table1[[#This Row],[Face value]]/100</f>
        <v>1115.8836050345606</v>
      </c>
      <c r="AF179" s="28">
        <f>(Table1[[#This Row],[P (+ shock)]]+Table1[[#This Row],[P (-shock)]]-2*Table1[[#This Row],[Ask Price]])/(2*Table1[[#This Row],[Ask Price]]*($AE$2^2))</f>
        <v>25.543768951365561</v>
      </c>
    </row>
    <row r="180" spans="1:32" x14ac:dyDescent="0.25">
      <c r="A180" s="21" t="s">
        <v>433</v>
      </c>
      <c r="B180" s="3" t="s">
        <v>434</v>
      </c>
      <c r="C180" s="3" t="s">
        <v>19</v>
      </c>
      <c r="D180" s="4">
        <v>45043</v>
      </c>
      <c r="E180" s="4">
        <v>46870</v>
      </c>
      <c r="F180" s="3">
        <v>1000</v>
      </c>
      <c r="G180" s="3" t="s">
        <v>20</v>
      </c>
      <c r="H180" s="3">
        <v>1005</v>
      </c>
      <c r="I180" s="3" t="s">
        <v>20</v>
      </c>
      <c r="J180" s="3">
        <v>100.49999999999901</v>
      </c>
      <c r="K180" s="3">
        <v>1</v>
      </c>
      <c r="L180" s="5">
        <v>0.10099999999999999</v>
      </c>
      <c r="M180" s="3" t="s">
        <v>21</v>
      </c>
      <c r="N180" s="3">
        <v>953</v>
      </c>
      <c r="O180" s="6">
        <f>Table1[[#This Row],[Current coupon %]]*Table1[[#This Row],[Face value]]/Table1[[#This Row],[Ask Price]]</f>
        <v>0.10049751243781094</v>
      </c>
      <c r="P180" s="3"/>
      <c r="Q180" s="3" t="s">
        <v>22</v>
      </c>
      <c r="R180">
        <f t="shared" si="2"/>
        <v>5</v>
      </c>
      <c r="S180" s="22" cm="1">
        <f t="array" ref="S180">_xlfn.IFS(Table1[[#This Row],[Coupon frequency]]="Semi-annual",2,Table1[[#This Row],[Coupon frequency]]="Quarterly",4,Table1[[#This Row],[Coupon frequency]]="Annual",1,Table1[[#This Row],[Coupon frequency]]="Every 4 months",3,Table1[[#This Row],[Coupon frequency]]="Monthly",12)</f>
        <v>1</v>
      </c>
      <c r="T180">
        <f>Table1[[#This Row],[Term to Maturity (Years)]]*Table1[[#This Row],[Coupon Frequency2]]</f>
        <v>5</v>
      </c>
      <c r="U180">
        <f>Table1[[#This Row],[Face value]]*Table1[[#This Row],[Current coupon %]]/Table1[[#This Row],[Coupon Frequency2]]</f>
        <v>100.99999999999999</v>
      </c>
      <c r="V180" s="23">
        <f>RATE(Table1[[#This Row],[Total No. of Coupons]],Table1[[#This Row],[Coupon Amount]],-Table1[[#This Row],[Ask Price]],Table1[[#This Row],[Face value]])</f>
        <v>9.9682083664211052E-2</v>
      </c>
      <c r="W180" s="24">
        <f>Table1[[#This Row],[IRR]]*Table1[[#This Row],[Coupon Frequency2]]</f>
        <v>9.9682083664211052E-2</v>
      </c>
      <c r="X180" s="25" cm="1">
        <f t="array" ref="X18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80" s="26">
        <f>DURATION(Table1[[#This Row],[Issue date]],Table1[[#This Row],[Maturity date]],Table1[[#This Row],[Current coupon %]],Table1[[#This Row],[Yield (Annualised)]],Table1[[#This Row],[Coupon Frequency2]])</f>
        <v>4.1652752661684316</v>
      </c>
      <c r="Z180" s="26">
        <f>Table1[[#This Row],[Macaulay Duration in Years]]/(1+Table1[[#This Row],[IRR]])</f>
        <v>3.78770858236543</v>
      </c>
      <c r="AA180" s="27">
        <f>VLOOKUP(Table1[[#This Row],[Yield Cluster]],'[1]Cluster Details'!$B$3:$C$16,2,0)</f>
        <v>7.8548801574189142E-2</v>
      </c>
      <c r="AB180" s="28">
        <f>PRICE(Table1[[#This Row],[Issue date]],Table1[[#This Row],[Maturity date]],Table1[[#This Row],[Current coupon %]],Table1[[#This Row],[Average Cluster Yield]],100,Table1[[#This Row],[Coupon Frequency2]])*Table1[[#This Row],[Face value]]/100</f>
        <v>1089.9850350203249</v>
      </c>
      <c r="AC180" s="27" t="str">
        <f>IF(Table1[[#This Row],[Ask Price]]&gt;Table1[[#This Row],[Calculated Bond Price]],"Rich","Cheap")</f>
        <v>Cheap</v>
      </c>
      <c r="AD180" s="28">
        <f>PRICE(Table1[[#This Row],[Issue date]],Table1[[#This Row],[Maturity date]],Table1[[#This Row],[Current coupon %]],Table1[[#This Row],[Yield (Annualised)]]+$AE$2,100,Table1[[#This Row],[Coupon Frequency2]])*Table1[[#This Row],[Face value]]/100</f>
        <v>967.88623440613196</v>
      </c>
      <c r="AE180" s="28">
        <f>PRICE(Table1[[#This Row],[Issue date]],Table1[[#This Row],[Maturity date]],Table1[[#This Row],[Current coupon %]],Table1[[#This Row],[Yield (Annualised)]]-$AE$2,100,Table1[[#This Row],[Coupon Frequency2]])*Table1[[#This Row],[Face value]]/100</f>
        <v>1044.0590854893078</v>
      </c>
      <c r="AF180" s="28">
        <f>(Table1[[#This Row],[P (+ shock)]]+Table1[[#This Row],[P (-shock)]]-2*Table1[[#This Row],[Ask Price]])/(2*Table1[[#This Row],[Ask Price]]*($AE$2^2))</f>
        <v>9.6782084350236417</v>
      </c>
    </row>
    <row r="181" spans="1:32" x14ac:dyDescent="0.25">
      <c r="A181" s="21" t="s">
        <v>435</v>
      </c>
      <c r="B181" s="3" t="s">
        <v>436</v>
      </c>
      <c r="C181" s="3" t="s">
        <v>19</v>
      </c>
      <c r="D181" s="4">
        <v>45771</v>
      </c>
      <c r="E181" s="4">
        <v>46867</v>
      </c>
      <c r="F181" s="3">
        <v>1000</v>
      </c>
      <c r="G181" s="3" t="s">
        <v>20</v>
      </c>
      <c r="H181" s="3">
        <v>1020</v>
      </c>
      <c r="I181" s="3" t="s">
        <v>20</v>
      </c>
      <c r="J181" s="3">
        <v>102</v>
      </c>
      <c r="K181" s="3">
        <v>10</v>
      </c>
      <c r="L181" s="5">
        <v>0.10249999999999999</v>
      </c>
      <c r="M181" s="3" t="s">
        <v>21</v>
      </c>
      <c r="N181" s="3">
        <v>950</v>
      </c>
      <c r="O181" s="6">
        <f>Table1[[#This Row],[Current coupon %]]*Table1[[#This Row],[Face value]]/Table1[[#This Row],[Ask Price]]</f>
        <v>0.10049019607843138</v>
      </c>
      <c r="P181" s="3"/>
      <c r="Q181" s="3" t="s">
        <v>22</v>
      </c>
      <c r="R181">
        <f t="shared" si="2"/>
        <v>3</v>
      </c>
      <c r="S181" s="22" cm="1">
        <f t="array" ref="S181">_xlfn.IFS(Table1[[#This Row],[Coupon frequency]]="Semi-annual",2,Table1[[#This Row],[Coupon frequency]]="Quarterly",4,Table1[[#This Row],[Coupon frequency]]="Annual",1,Table1[[#This Row],[Coupon frequency]]="Every 4 months",3,Table1[[#This Row],[Coupon frequency]]="Monthly",12)</f>
        <v>1</v>
      </c>
      <c r="T181">
        <f>Table1[[#This Row],[Term to Maturity (Years)]]*Table1[[#This Row],[Coupon Frequency2]]</f>
        <v>3</v>
      </c>
      <c r="U181">
        <f>Table1[[#This Row],[Face value]]*Table1[[#This Row],[Current coupon %]]/Table1[[#This Row],[Coupon Frequency2]]</f>
        <v>102.5</v>
      </c>
      <c r="V181" s="23">
        <f>RATE(Table1[[#This Row],[Total No. of Coupons]],Table1[[#This Row],[Coupon Amount]],-Table1[[#This Row],[Ask Price]],Table1[[#This Row],[Face value]])</f>
        <v>9.4534966175120846E-2</v>
      </c>
      <c r="W181" s="24">
        <f>Table1[[#This Row],[IRR]]*Table1[[#This Row],[Coupon Frequency2]]</f>
        <v>9.4534966175120846E-2</v>
      </c>
      <c r="X181" s="25" cm="1">
        <f t="array" ref="X18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81" s="26">
        <f>DURATION(Table1[[#This Row],[Issue date]],Table1[[#This Row],[Maturity date]],Table1[[#This Row],[Current coupon %]],Table1[[#This Row],[Yield (Annualised)]],Table1[[#This Row],[Coupon Frequency2]])</f>
        <v>2.732497123637708</v>
      </c>
      <c r="Z181" s="26">
        <f>Table1[[#This Row],[Macaulay Duration in Years]]/(1+Table1[[#This Row],[IRR]])</f>
        <v>2.4964913941365308</v>
      </c>
      <c r="AA181" s="27">
        <f>VLOOKUP(Table1[[#This Row],[Yield Cluster]],'[1]Cluster Details'!$B$3:$C$16,2,0)</f>
        <v>7.8548801574189142E-2</v>
      </c>
      <c r="AB181" s="28">
        <f>PRICE(Table1[[#This Row],[Issue date]],Table1[[#This Row],[Maturity date]],Table1[[#This Row],[Current coupon %]],Table1[[#This Row],[Average Cluster Yield]],100,Table1[[#This Row],[Coupon Frequency2]])*Table1[[#This Row],[Face value]]/100</f>
        <v>1061.8865469172881</v>
      </c>
      <c r="AC181" s="27" t="str">
        <f>IF(Table1[[#This Row],[Ask Price]]&gt;Table1[[#This Row],[Calculated Bond Price]],"Rich","Cheap")</f>
        <v>Cheap</v>
      </c>
      <c r="AD181" s="28">
        <f>PRICE(Table1[[#This Row],[Issue date]],Table1[[#This Row],[Maturity date]],Table1[[#This Row],[Current coupon %]],Table1[[#This Row],[Yield (Annualised)]]+$AE$2,100,Table1[[#This Row],[Coupon Frequency2]])*Table1[[#This Row],[Face value]]/100</f>
        <v>994.97947232216814</v>
      </c>
      <c r="AE181" s="28">
        <f>PRICE(Table1[[#This Row],[Issue date]],Table1[[#This Row],[Maturity date]],Table1[[#This Row],[Current coupon %]],Table1[[#This Row],[Yield (Annualised)]]-$AE$2,100,Table1[[#This Row],[Coupon Frequency2]])*Table1[[#This Row],[Face value]]/100</f>
        <v>1045.9213881314117</v>
      </c>
      <c r="AF181" s="28">
        <f>(Table1[[#This Row],[P (+ shock)]]+Table1[[#This Row],[P (-shock)]]-2*Table1[[#This Row],[Ask Price]])/(2*Table1[[#This Row],[Ask Price]]*($AE$2^2))</f>
        <v>4.4159826155870245</v>
      </c>
    </row>
    <row r="182" spans="1:32" x14ac:dyDescent="0.25">
      <c r="A182" s="21" t="s">
        <v>437</v>
      </c>
      <c r="B182" s="3" t="s">
        <v>438</v>
      </c>
      <c r="C182" s="3" t="s">
        <v>19</v>
      </c>
      <c r="D182" s="4">
        <v>45128</v>
      </c>
      <c r="E182" s="4">
        <v>46224</v>
      </c>
      <c r="F182" s="3">
        <v>1000</v>
      </c>
      <c r="G182" s="3" t="s">
        <v>20</v>
      </c>
      <c r="H182" s="3">
        <v>955.7</v>
      </c>
      <c r="I182" s="3" t="s">
        <v>20</v>
      </c>
      <c r="J182" s="3">
        <v>95.57</v>
      </c>
      <c r="K182" s="3">
        <v>1</v>
      </c>
      <c r="L182" s="5">
        <v>9.6000000000000002E-2</v>
      </c>
      <c r="M182" s="3" t="s">
        <v>21</v>
      </c>
      <c r="N182" s="3">
        <v>307</v>
      </c>
      <c r="O182" s="6">
        <f>Table1[[#This Row],[Current coupon %]]*Table1[[#This Row],[Face value]]/Table1[[#This Row],[Ask Price]]</f>
        <v>0.10044993198702522</v>
      </c>
      <c r="P182" s="3"/>
      <c r="Q182" s="3" t="s">
        <v>22</v>
      </c>
      <c r="R182">
        <f t="shared" si="2"/>
        <v>3</v>
      </c>
      <c r="S182" s="22" cm="1">
        <f t="array" ref="S182">_xlfn.IFS(Table1[[#This Row],[Coupon frequency]]="Semi-annual",2,Table1[[#This Row],[Coupon frequency]]="Quarterly",4,Table1[[#This Row],[Coupon frequency]]="Annual",1,Table1[[#This Row],[Coupon frequency]]="Every 4 months",3,Table1[[#This Row],[Coupon frequency]]="Monthly",12)</f>
        <v>1</v>
      </c>
      <c r="T182">
        <f>Table1[[#This Row],[Term to Maturity (Years)]]*Table1[[#This Row],[Coupon Frequency2]]</f>
        <v>3</v>
      </c>
      <c r="U182">
        <f>Table1[[#This Row],[Face value]]*Table1[[#This Row],[Current coupon %]]/Table1[[#This Row],[Coupon Frequency2]]</f>
        <v>96</v>
      </c>
      <c r="V182" s="23">
        <f>RATE(Table1[[#This Row],[Total No. of Coupons]],Table1[[#This Row],[Coupon Amount]],-Table1[[#This Row],[Ask Price]],Table1[[#This Row],[Face value]])</f>
        <v>0.11426268901494498</v>
      </c>
      <c r="W182" s="24">
        <f>Table1[[#This Row],[IRR]]*Table1[[#This Row],[Coupon Frequency2]]</f>
        <v>0.11426268901494498</v>
      </c>
      <c r="X182" s="25" cm="1">
        <f t="array" ref="X18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82" s="26">
        <f>DURATION(Table1[[#This Row],[Issue date]],Table1[[#This Row],[Maturity date]],Table1[[#This Row],[Current coupon %]],Table1[[#This Row],[Yield (Annualised)]],Table1[[#This Row],[Coupon Frequency2]])</f>
        <v>2.738796690833547</v>
      </c>
      <c r="Z182" s="26">
        <f>Table1[[#This Row],[Macaulay Duration in Years]]/(1+Table1[[#This Row],[IRR]])</f>
        <v>2.4579452563872155</v>
      </c>
      <c r="AA182" s="27">
        <f>VLOOKUP(Table1[[#This Row],[Yield Cluster]],'[1]Cluster Details'!$B$3:$C$16,2,0)</f>
        <v>0.11069942689191503</v>
      </c>
      <c r="AB182" s="28">
        <f>PRICE(Table1[[#This Row],[Issue date]],Table1[[#This Row],[Maturity date]],Table1[[#This Row],[Current coupon %]],Table1[[#This Row],[Average Cluster Yield]],100,Table1[[#This Row],[Coupon Frequency2]])*Table1[[#This Row],[Face value]]/100</f>
        <v>964.12244619265959</v>
      </c>
      <c r="AC182" s="27" t="str">
        <f>IF(Table1[[#This Row],[Ask Price]]&gt;Table1[[#This Row],[Calculated Bond Price]],"Rich","Cheap")</f>
        <v>Cheap</v>
      </c>
      <c r="AD182" s="28">
        <f>PRICE(Table1[[#This Row],[Issue date]],Table1[[#This Row],[Maturity date]],Table1[[#This Row],[Current coupon %]],Table1[[#This Row],[Yield (Annualised)]]+$AE$2,100,Table1[[#This Row],[Coupon Frequency2]])*Table1[[#This Row],[Face value]]/100</f>
        <v>932.61195184187181</v>
      </c>
      <c r="AE182" s="28">
        <f>PRICE(Table1[[#This Row],[Issue date]],Table1[[#This Row],[Maturity date]],Table1[[#This Row],[Current coupon %]],Table1[[#This Row],[Yield (Annualised)]]-$AE$2,100,Table1[[#This Row],[Coupon Frequency2]])*Table1[[#This Row],[Face value]]/100</f>
        <v>979.60514403326079</v>
      </c>
      <c r="AF182" s="28">
        <f>(Table1[[#This Row],[P (+ shock)]]+Table1[[#This Row],[P (-shock)]]-2*Table1[[#This Row],[Ask Price]])/(2*Table1[[#This Row],[Ask Price]]*($AE$2^2))</f>
        <v>4.2748554731218409</v>
      </c>
    </row>
    <row r="183" spans="1:32" x14ac:dyDescent="0.25">
      <c r="A183" s="21" t="s">
        <v>439</v>
      </c>
      <c r="B183" s="3" t="s">
        <v>440</v>
      </c>
      <c r="C183" s="3" t="s">
        <v>19</v>
      </c>
      <c r="D183" s="4">
        <v>45281</v>
      </c>
      <c r="E183" s="4">
        <v>47108</v>
      </c>
      <c r="F183" s="3">
        <v>1000</v>
      </c>
      <c r="G183" s="3" t="s">
        <v>20</v>
      </c>
      <c r="H183" s="3">
        <v>1047.5</v>
      </c>
      <c r="I183" s="3" t="s">
        <v>20</v>
      </c>
      <c r="J183" s="3">
        <v>104.75</v>
      </c>
      <c r="K183" s="3">
        <v>15</v>
      </c>
      <c r="L183" s="5">
        <v>0.105</v>
      </c>
      <c r="M183" s="3" t="s">
        <v>21</v>
      </c>
      <c r="N183" s="3">
        <v>1191</v>
      </c>
      <c r="O183" s="6">
        <f>Table1[[#This Row],[Current coupon %]]*Table1[[#This Row],[Face value]]/Table1[[#This Row],[Ask Price]]</f>
        <v>0.10023866348448687</v>
      </c>
      <c r="P183" s="3"/>
      <c r="Q183" s="3" t="s">
        <v>22</v>
      </c>
      <c r="R183">
        <f t="shared" si="2"/>
        <v>5</v>
      </c>
      <c r="S183" s="22" cm="1">
        <f t="array" ref="S183">_xlfn.IFS(Table1[[#This Row],[Coupon frequency]]="Semi-annual",2,Table1[[#This Row],[Coupon frequency]]="Quarterly",4,Table1[[#This Row],[Coupon frequency]]="Annual",1,Table1[[#This Row],[Coupon frequency]]="Every 4 months",3,Table1[[#This Row],[Coupon frequency]]="Monthly",12)</f>
        <v>1</v>
      </c>
      <c r="T183">
        <f>Table1[[#This Row],[Term to Maturity (Years)]]*Table1[[#This Row],[Coupon Frequency2]]</f>
        <v>5</v>
      </c>
      <c r="U183">
        <f>Table1[[#This Row],[Face value]]*Table1[[#This Row],[Current coupon %]]/Table1[[#This Row],[Coupon Frequency2]]</f>
        <v>105</v>
      </c>
      <c r="V183" s="23">
        <f>RATE(Table1[[#This Row],[Total No. of Coupons]],Table1[[#This Row],[Coupon Amount]],-Table1[[#This Row],[Ask Price]],Table1[[#This Row],[Face value]])</f>
        <v>9.270236199626232E-2</v>
      </c>
      <c r="W183" s="24">
        <f>Table1[[#This Row],[IRR]]*Table1[[#This Row],[Coupon Frequency2]]</f>
        <v>9.270236199626232E-2</v>
      </c>
      <c r="X183" s="25" cm="1">
        <f t="array" ref="X18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83" s="26">
        <f>DURATION(Table1[[#This Row],[Issue date]],Table1[[#This Row],[Maturity date]],Table1[[#This Row],[Current coupon %]],Table1[[#This Row],[Yield (Annualised)]],Table1[[#This Row],[Coupon Frequency2]])</f>
        <v>4.1572338599223775</v>
      </c>
      <c r="Z183" s="26">
        <f>Table1[[#This Row],[Macaulay Duration in Years]]/(1+Table1[[#This Row],[IRR]])</f>
        <v>3.8045436749377113</v>
      </c>
      <c r="AA183" s="27">
        <f>VLOOKUP(Table1[[#This Row],[Yield Cluster]],'[1]Cluster Details'!$B$3:$C$16,2,0)</f>
        <v>7.8548801574189142E-2</v>
      </c>
      <c r="AB183" s="28">
        <f>PRICE(Table1[[#This Row],[Issue date]],Table1[[#This Row],[Maturity date]],Table1[[#This Row],[Current coupon %]],Table1[[#This Row],[Average Cluster Yield]],100,Table1[[#This Row],[Coupon Frequency2]])*Table1[[#This Row],[Face value]]/100</f>
        <v>1106.0171475719424</v>
      </c>
      <c r="AC183" s="27" t="str">
        <f>IF(Table1[[#This Row],[Ask Price]]&gt;Table1[[#This Row],[Calculated Bond Price]],"Rich","Cheap")</f>
        <v>Cheap</v>
      </c>
      <c r="AD183" s="28">
        <f>PRICE(Table1[[#This Row],[Issue date]],Table1[[#This Row],[Maturity date]],Table1[[#This Row],[Current coupon %]],Table1[[#This Row],[Yield (Annualised)]]+$AE$2,100,Table1[[#This Row],[Coupon Frequency2]])*Table1[[#This Row],[Face value]]/100</f>
        <v>1008.6500580147535</v>
      </c>
      <c r="AE183" s="28">
        <f>PRICE(Table1[[#This Row],[Issue date]],Table1[[#This Row],[Maturity date]],Table1[[#This Row],[Current coupon %]],Table1[[#This Row],[Yield (Annualised)]]-$AE$2,100,Table1[[#This Row],[Coupon Frequency2]])*Table1[[#This Row],[Face value]]/100</f>
        <v>1088.3974965342691</v>
      </c>
      <c r="AF183" s="28">
        <f>(Table1[[#This Row],[P (+ shock)]]+Table1[[#This Row],[P (-shock)]]-2*Table1[[#This Row],[Ask Price]])/(2*Table1[[#This Row],[Ask Price]]*($AE$2^2))</f>
        <v>9.7735300669336826</v>
      </c>
    </row>
    <row r="184" spans="1:32" x14ac:dyDescent="0.25">
      <c r="A184" s="21" t="s">
        <v>71</v>
      </c>
      <c r="B184" s="3" t="s">
        <v>72</v>
      </c>
      <c r="C184" s="3" t="s">
        <v>19</v>
      </c>
      <c r="D184" s="4">
        <v>45560</v>
      </c>
      <c r="E184" s="4">
        <v>46655</v>
      </c>
      <c r="F184" s="3">
        <v>1000</v>
      </c>
      <c r="G184" s="3" t="s">
        <v>20</v>
      </c>
      <c r="H184" s="3">
        <v>1014.29</v>
      </c>
      <c r="I184" s="3" t="s">
        <v>20</v>
      </c>
      <c r="J184" s="3">
        <v>101.42899999999899</v>
      </c>
      <c r="K184" s="3">
        <v>225</v>
      </c>
      <c r="L184" s="5">
        <v>0.10300000000000001</v>
      </c>
      <c r="M184" s="3" t="s">
        <v>44</v>
      </c>
      <c r="N184" s="3">
        <v>738</v>
      </c>
      <c r="O184" s="6">
        <f>Table1[[#This Row],[Current coupon %]]*Table1[[#This Row],[Face value]]/Table1[[#This Row],[Ask Price]]</f>
        <v>0.10154886669492948</v>
      </c>
      <c r="P184" s="3"/>
      <c r="Q184" s="3" t="s">
        <v>22</v>
      </c>
      <c r="R184">
        <f t="shared" si="2"/>
        <v>3</v>
      </c>
      <c r="S184" s="22" cm="1">
        <f t="array" ref="S184">_xlfn.IFS(Table1[[#This Row],[Coupon frequency]]="Semi-annual",2,Table1[[#This Row],[Coupon frequency]]="Quarterly",4,Table1[[#This Row],[Coupon frequency]]="Annual",1,Table1[[#This Row],[Coupon frequency]]="Every 4 months",3,Table1[[#This Row],[Coupon frequency]]="Monthly",12)</f>
        <v>4</v>
      </c>
      <c r="T184">
        <f>Table1[[#This Row],[Term to Maturity (Years)]]*Table1[[#This Row],[Coupon Frequency2]]</f>
        <v>12</v>
      </c>
      <c r="U184">
        <f>Table1[[#This Row],[Face value]]*Table1[[#This Row],[Current coupon %]]/Table1[[#This Row],[Coupon Frequency2]]</f>
        <v>25.750000000000004</v>
      </c>
      <c r="V184" s="23">
        <f>RATE(Table1[[#This Row],[Total No. of Coupons]],Table1[[#This Row],[Coupon Amount]],-Table1[[#This Row],[Ask Price]],Table1[[#This Row],[Face value]])</f>
        <v>2.4362282523116598E-2</v>
      </c>
      <c r="W184" s="24">
        <f>Table1[[#This Row],[IRR]]*Table1[[#This Row],[Coupon Frequency2]]</f>
        <v>9.7449130092466391E-2</v>
      </c>
      <c r="X184" s="25" cm="1">
        <f t="array" ref="X18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84" s="26">
        <f>DURATION(Table1[[#This Row],[Issue date]],Table1[[#This Row],[Maturity date]],Table1[[#This Row],[Current coupon %]],Table1[[#This Row],[Yield (Annualised)]],Table1[[#This Row],[Coupon Frequency2]])</f>
        <v>2.6218209621620607</v>
      </c>
      <c r="Z184" s="26">
        <f>Table1[[#This Row],[Macaulay Duration in Years]]/(1+Table1[[#This Row],[IRR]])</f>
        <v>2.5594665157957865</v>
      </c>
      <c r="AA184" s="27">
        <f>VLOOKUP(Table1[[#This Row],[Yield Cluster]],'[1]Cluster Details'!$B$3:$C$16,2,0)</f>
        <v>7.8548801574189142E-2</v>
      </c>
      <c r="AB184" s="28">
        <f>PRICE(Table1[[#This Row],[Issue date]],Table1[[#This Row],[Maturity date]],Table1[[#This Row],[Current coupon %]],Table1[[#This Row],[Average Cluster Yield]],100,Table1[[#This Row],[Coupon Frequency2]])*Table1[[#This Row],[Face value]]/100</f>
        <v>1064.789212188836</v>
      </c>
      <c r="AC184" s="27" t="str">
        <f>IF(Table1[[#This Row],[Ask Price]]&gt;Table1[[#This Row],[Calculated Bond Price]],"Rich","Cheap")</f>
        <v>Cheap</v>
      </c>
      <c r="AD184" s="28">
        <f>PRICE(Table1[[#This Row],[Issue date]],Table1[[#This Row],[Maturity date]],Table1[[#This Row],[Current coupon %]],Table1[[#This Row],[Yield (Annualised)]]+$AE$2,100,Table1[[#This Row],[Coupon Frequency2]])*Table1[[#This Row],[Face value]]/100</f>
        <v>988.71806042080982</v>
      </c>
      <c r="AE184" s="28">
        <f>PRICE(Table1[[#This Row],[Issue date]],Table1[[#This Row],[Maturity date]],Table1[[#This Row],[Current coupon %]],Table1[[#This Row],[Yield (Annualised)]]-$AE$2,100,Table1[[#This Row],[Coupon Frequency2]])*Table1[[#This Row],[Face value]]/100</f>
        <v>1040.647622854319</v>
      </c>
      <c r="AF184" s="28">
        <f>(Table1[[#This Row],[P (+ shock)]]+Table1[[#This Row],[P (-shock)]]-2*Table1[[#This Row],[Ask Price]])/(2*Table1[[#This Row],[Ask Price]]*($AE$2^2))</f>
        <v>3.8730702024521153</v>
      </c>
    </row>
    <row r="185" spans="1:32" x14ac:dyDescent="0.25">
      <c r="A185" s="21" t="s">
        <v>441</v>
      </c>
      <c r="B185" s="3" t="s">
        <v>442</v>
      </c>
      <c r="C185" s="3" t="s">
        <v>19</v>
      </c>
      <c r="D185" s="4">
        <v>44449</v>
      </c>
      <c r="E185" s="4">
        <v>48101</v>
      </c>
      <c r="F185" s="3">
        <v>1000</v>
      </c>
      <c r="G185" s="3" t="s">
        <v>20</v>
      </c>
      <c r="H185" s="3">
        <v>968.8</v>
      </c>
      <c r="I185" s="3" t="s">
        <v>20</v>
      </c>
      <c r="J185" s="3">
        <v>96.88</v>
      </c>
      <c r="K185" s="3">
        <v>6</v>
      </c>
      <c r="L185" s="5">
        <v>9.6999999999999989E-2</v>
      </c>
      <c r="M185" s="3" t="s">
        <v>21</v>
      </c>
      <c r="N185" s="3">
        <v>2184</v>
      </c>
      <c r="O185" s="6">
        <f>Table1[[#This Row],[Current coupon %]]*Table1[[#This Row],[Face value]]/Table1[[#This Row],[Ask Price]]</f>
        <v>0.10012386457473162</v>
      </c>
      <c r="P185" s="3"/>
      <c r="Q185" s="3" t="s">
        <v>22</v>
      </c>
      <c r="R185">
        <f t="shared" si="2"/>
        <v>10</v>
      </c>
      <c r="S185" s="22" cm="1">
        <f t="array" ref="S185">_xlfn.IFS(Table1[[#This Row],[Coupon frequency]]="Semi-annual",2,Table1[[#This Row],[Coupon frequency]]="Quarterly",4,Table1[[#This Row],[Coupon frequency]]="Annual",1,Table1[[#This Row],[Coupon frequency]]="Every 4 months",3,Table1[[#This Row],[Coupon frequency]]="Monthly",12)</f>
        <v>1</v>
      </c>
      <c r="T185">
        <f>Table1[[#This Row],[Term to Maturity (Years)]]*Table1[[#This Row],[Coupon Frequency2]]</f>
        <v>10</v>
      </c>
      <c r="U185">
        <f>Table1[[#This Row],[Face value]]*Table1[[#This Row],[Current coupon %]]/Table1[[#This Row],[Coupon Frequency2]]</f>
        <v>96.999999999999986</v>
      </c>
      <c r="V185" s="23">
        <f>RATE(Table1[[#This Row],[Total No. of Coupons]],Table1[[#This Row],[Coupon Amount]],-Table1[[#This Row],[Ask Price]],Table1[[#This Row],[Face value]])</f>
        <v>0.10212408063508165</v>
      </c>
      <c r="W185" s="24">
        <f>Table1[[#This Row],[IRR]]*Table1[[#This Row],[Coupon Frequency2]]</f>
        <v>0.10212408063508165</v>
      </c>
      <c r="X185" s="25" cm="1">
        <f t="array" ref="X18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85" s="26">
        <f>DURATION(Table1[[#This Row],[Issue date]],Table1[[#This Row],[Maturity date]],Table1[[#This Row],[Current coupon %]],Table1[[#This Row],[Yield (Annualised)]],Table1[[#This Row],[Coupon Frequency2]])</f>
        <v>6.7751444584395504</v>
      </c>
      <c r="Z185" s="26">
        <f>Table1[[#This Row],[Macaulay Duration in Years]]/(1+Table1[[#This Row],[IRR]])</f>
        <v>6.1473518068269408</v>
      </c>
      <c r="AA185" s="27">
        <f>VLOOKUP(Table1[[#This Row],[Yield Cluster]],'[1]Cluster Details'!$B$3:$C$16,2,0)</f>
        <v>0.11069942689191503</v>
      </c>
      <c r="AB185" s="28">
        <f>PRICE(Table1[[#This Row],[Issue date]],Table1[[#This Row],[Maturity date]],Table1[[#This Row],[Current coupon %]],Table1[[#This Row],[Average Cluster Yield]],100,Table1[[#This Row],[Coupon Frequency2]])*Table1[[#This Row],[Face value]]/100</f>
        <v>919.55696778026208</v>
      </c>
      <c r="AC185" s="27" t="str">
        <f>IF(Table1[[#This Row],[Ask Price]]&gt;Table1[[#This Row],[Calculated Bond Price]],"Rich","Cheap")</f>
        <v>Rich</v>
      </c>
      <c r="AD185" s="28">
        <f>PRICE(Table1[[#This Row],[Issue date]],Table1[[#This Row],[Maturity date]],Table1[[#This Row],[Current coupon %]],Table1[[#This Row],[Yield (Annualised)]]+$AE$2,100,Table1[[#This Row],[Coupon Frequency2]])*Table1[[#This Row],[Face value]]/100</f>
        <v>911.71855269396337</v>
      </c>
      <c r="AE185" s="28">
        <f>PRICE(Table1[[#This Row],[Issue date]],Table1[[#This Row],[Maturity date]],Table1[[#This Row],[Current coupon %]],Table1[[#This Row],[Yield (Annualised)]]-$AE$2,100,Table1[[#This Row],[Coupon Frequency2]])*Table1[[#This Row],[Face value]]/100</f>
        <v>1031.0015324003718</v>
      </c>
      <c r="AF185" s="28">
        <f>(Table1[[#This Row],[P (+ shock)]]+Table1[[#This Row],[P (-shock)]]-2*Table1[[#This Row],[Ask Price]])/(2*Table1[[#This Row],[Ask Price]]*($AE$2^2))</f>
        <v>26.424881783316007</v>
      </c>
    </row>
    <row r="186" spans="1:32" x14ac:dyDescent="0.25">
      <c r="A186" s="21" t="s">
        <v>443</v>
      </c>
      <c r="B186" s="3" t="s">
        <v>444</v>
      </c>
      <c r="C186" s="3" t="s">
        <v>19</v>
      </c>
      <c r="D186" s="4">
        <v>45412</v>
      </c>
      <c r="E186" s="4">
        <v>47238</v>
      </c>
      <c r="F186" s="3">
        <v>1000</v>
      </c>
      <c r="G186" s="3" t="s">
        <v>20</v>
      </c>
      <c r="H186" s="3">
        <v>974.8</v>
      </c>
      <c r="I186" s="3" t="s">
        <v>20</v>
      </c>
      <c r="J186" s="3">
        <v>97.48</v>
      </c>
      <c r="K186" s="3">
        <v>20</v>
      </c>
      <c r="L186" s="5">
        <v>9.7500000000000003E-2</v>
      </c>
      <c r="M186" s="3" t="s">
        <v>21</v>
      </c>
      <c r="N186" s="3">
        <v>1321</v>
      </c>
      <c r="O186" s="6">
        <f>Table1[[#This Row],[Current coupon %]]*Table1[[#This Row],[Face value]]/Table1[[#This Row],[Ask Price]]</f>
        <v>0.10002051702913418</v>
      </c>
      <c r="P186" s="3"/>
      <c r="Q186" s="3" t="s">
        <v>22</v>
      </c>
      <c r="R186">
        <f t="shared" si="2"/>
        <v>5</v>
      </c>
      <c r="S186" s="22" cm="1">
        <f t="array" ref="S186">_xlfn.IFS(Table1[[#This Row],[Coupon frequency]]="Semi-annual",2,Table1[[#This Row],[Coupon frequency]]="Quarterly",4,Table1[[#This Row],[Coupon frequency]]="Annual",1,Table1[[#This Row],[Coupon frequency]]="Every 4 months",3,Table1[[#This Row],[Coupon frequency]]="Monthly",12)</f>
        <v>1</v>
      </c>
      <c r="T186">
        <f>Table1[[#This Row],[Term to Maturity (Years)]]*Table1[[#This Row],[Coupon Frequency2]]</f>
        <v>5</v>
      </c>
      <c r="U186">
        <f>Table1[[#This Row],[Face value]]*Table1[[#This Row],[Current coupon %]]/Table1[[#This Row],[Coupon Frequency2]]</f>
        <v>97.5</v>
      </c>
      <c r="V186" s="23">
        <f>RATE(Table1[[#This Row],[Total No. of Coupons]],Table1[[#This Row],[Coupon Amount]],-Table1[[#This Row],[Ask Price]],Table1[[#This Row],[Face value]])</f>
        <v>0.10421950644876669</v>
      </c>
      <c r="W186" s="24">
        <f>Table1[[#This Row],[IRR]]*Table1[[#This Row],[Coupon Frequency2]]</f>
        <v>0.10421950644876669</v>
      </c>
      <c r="X186" s="25" cm="1">
        <f t="array" ref="X18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86" s="26">
        <f>DURATION(Table1[[#This Row],[Issue date]],Table1[[#This Row],[Maturity date]],Table1[[#This Row],[Current coupon %]],Table1[[#This Row],[Yield (Annualised)]],Table1[[#This Row],[Coupon Frequency2]])</f>
        <v>4.1757311566286592</v>
      </c>
      <c r="Z186" s="26">
        <f>Table1[[#This Row],[Macaulay Duration in Years]]/(1+Table1[[#This Row],[IRR]])</f>
        <v>3.7816132863456198</v>
      </c>
      <c r="AA186" s="27">
        <f>VLOOKUP(Table1[[#This Row],[Yield Cluster]],'[1]Cluster Details'!$B$3:$C$16,2,0)</f>
        <v>0.11069942689191503</v>
      </c>
      <c r="AB186" s="28">
        <f>PRICE(Table1[[#This Row],[Issue date]],Table1[[#This Row],[Maturity date]],Table1[[#This Row],[Current coupon %]],Table1[[#This Row],[Average Cluster Yield]],100,Table1[[#This Row],[Coupon Frequency2]])*Table1[[#This Row],[Face value]]/100</f>
        <v>951.30198815484164</v>
      </c>
      <c r="AC186" s="27" t="str">
        <f>IF(Table1[[#This Row],[Ask Price]]&gt;Table1[[#This Row],[Calculated Bond Price]],"Rich","Cheap")</f>
        <v>Rich</v>
      </c>
      <c r="AD186" s="28">
        <f>PRICE(Table1[[#This Row],[Issue date]],Table1[[#This Row],[Maturity date]],Table1[[#This Row],[Current coupon %]],Table1[[#This Row],[Yield (Annualised)]]+$AE$2,100,Table1[[#This Row],[Coupon Frequency2]])*Table1[[#This Row],[Face value]]/100</f>
        <v>938.85675934163339</v>
      </c>
      <c r="AE186" s="28">
        <f>PRICE(Table1[[#This Row],[Issue date]],Table1[[#This Row],[Maturity date]],Table1[[#This Row],[Current coupon %]],Table1[[#This Row],[Yield (Annualised)]]-$AE$2,100,Table1[[#This Row],[Coupon Frequency2]])*Table1[[#This Row],[Face value]]/100</f>
        <v>1012.6214917165645</v>
      </c>
      <c r="AF186" s="28">
        <f>(Table1[[#This Row],[P (+ shock)]]+Table1[[#This Row],[P (-shock)]]-2*Table1[[#This Row],[Ask Price]])/(2*Table1[[#This Row],[Ask Price]]*($AE$2^2))</f>
        <v>9.6340329205887105</v>
      </c>
    </row>
    <row r="187" spans="1:32" x14ac:dyDescent="0.25">
      <c r="A187" s="21" t="s">
        <v>445</v>
      </c>
      <c r="B187" s="3" t="s">
        <v>446</v>
      </c>
      <c r="C187" s="3" t="s">
        <v>19</v>
      </c>
      <c r="D187" s="4">
        <v>45862</v>
      </c>
      <c r="E187" s="4">
        <v>46958</v>
      </c>
      <c r="F187" s="3">
        <v>1000</v>
      </c>
      <c r="G187" s="3" t="s">
        <v>20</v>
      </c>
      <c r="H187" s="3">
        <v>980</v>
      </c>
      <c r="I187" s="3" t="s">
        <v>20</v>
      </c>
      <c r="J187" s="3">
        <v>98</v>
      </c>
      <c r="K187" s="3">
        <v>120</v>
      </c>
      <c r="L187" s="5">
        <v>9.7500000000000003E-2</v>
      </c>
      <c r="M187" s="3" t="s">
        <v>21</v>
      </c>
      <c r="N187" s="3">
        <v>1041</v>
      </c>
      <c r="O187" s="6">
        <f>Table1[[#This Row],[Current coupon %]]*Table1[[#This Row],[Face value]]/Table1[[#This Row],[Ask Price]]</f>
        <v>9.9489795918367346E-2</v>
      </c>
      <c r="P187" s="3"/>
      <c r="Q187" s="3" t="s">
        <v>22</v>
      </c>
      <c r="R187">
        <f t="shared" si="2"/>
        <v>3</v>
      </c>
      <c r="S187" s="22" cm="1">
        <f t="array" ref="S187">_xlfn.IFS(Table1[[#This Row],[Coupon frequency]]="Semi-annual",2,Table1[[#This Row],[Coupon frequency]]="Quarterly",4,Table1[[#This Row],[Coupon frequency]]="Annual",1,Table1[[#This Row],[Coupon frequency]]="Every 4 months",3,Table1[[#This Row],[Coupon frequency]]="Monthly",12)</f>
        <v>1</v>
      </c>
      <c r="T187">
        <f>Table1[[#This Row],[Term to Maturity (Years)]]*Table1[[#This Row],[Coupon Frequency2]]</f>
        <v>3</v>
      </c>
      <c r="U187">
        <f>Table1[[#This Row],[Face value]]*Table1[[#This Row],[Current coupon %]]/Table1[[#This Row],[Coupon Frequency2]]</f>
        <v>97.5</v>
      </c>
      <c r="V187" s="23">
        <f>RATE(Table1[[#This Row],[Total No. of Coupons]],Table1[[#This Row],[Coupon Amount]],-Table1[[#This Row],[Ask Price]],Table1[[#This Row],[Face value]])</f>
        <v>0.10562201587080847</v>
      </c>
      <c r="W187" s="24">
        <f>Table1[[#This Row],[IRR]]*Table1[[#This Row],[Coupon Frequency2]]</f>
        <v>0.10562201587080847</v>
      </c>
      <c r="X187" s="25" cm="1">
        <f t="array" ref="X18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87" s="26">
        <f>DURATION(Table1[[#This Row],[Issue date]],Table1[[#This Row],[Maturity date]],Table1[[#This Row],[Current coupon %]],Table1[[#This Row],[Yield (Annualised)]],Table1[[#This Row],[Coupon Frequency2]])</f>
        <v>2.7386403776254631</v>
      </c>
      <c r="Z187" s="26">
        <f>Table1[[#This Row],[Macaulay Duration in Years]]/(1+Table1[[#This Row],[IRR]])</f>
        <v>2.4770132453164462</v>
      </c>
      <c r="AA187" s="27">
        <f>VLOOKUP(Table1[[#This Row],[Yield Cluster]],'[1]Cluster Details'!$B$3:$C$16,2,0)</f>
        <v>0.11069942689191503</v>
      </c>
      <c r="AB187" s="28">
        <f>PRICE(Table1[[#This Row],[Issue date]],Table1[[#This Row],[Maturity date]],Table1[[#This Row],[Current coupon %]],Table1[[#This Row],[Average Cluster Yield]],100,Table1[[#This Row],[Coupon Frequency2]])*Table1[[#This Row],[Face value]]/100</f>
        <v>967.78356380674882</v>
      </c>
      <c r="AC187" s="27" t="str">
        <f>IF(Table1[[#This Row],[Ask Price]]&gt;Table1[[#This Row],[Calculated Bond Price]],"Rich","Cheap")</f>
        <v>Rich</v>
      </c>
      <c r="AD187" s="28">
        <f>PRICE(Table1[[#This Row],[Issue date]],Table1[[#This Row],[Maturity date]],Table1[[#This Row],[Current coupon %]],Table1[[#This Row],[Yield (Annualised)]]+$AE$2,100,Table1[[#This Row],[Coupon Frequency2]])*Table1[[#This Row],[Face value]]/100</f>
        <v>956.14441946844886</v>
      </c>
      <c r="AE187" s="28">
        <f>PRICE(Table1[[#This Row],[Issue date]],Table1[[#This Row],[Maturity date]],Table1[[#This Row],[Current coupon %]],Table1[[#This Row],[Yield (Annualised)]]-$AE$2,100,Table1[[#This Row],[Coupon Frequency2]])*Table1[[#This Row],[Face value]]/100</f>
        <v>1004.7065007943748</v>
      </c>
      <c r="AF187" s="28">
        <f>(Table1[[#This Row],[P (+ shock)]]+Table1[[#This Row],[P (-shock)]]-2*Table1[[#This Row],[Ask Price]])/(2*Table1[[#This Row],[Ask Price]]*($AE$2^2))</f>
        <v>4.3414299123664284</v>
      </c>
    </row>
    <row r="188" spans="1:32" x14ac:dyDescent="0.25">
      <c r="A188" s="21" t="s">
        <v>447</v>
      </c>
      <c r="B188" s="3" t="s">
        <v>448</v>
      </c>
      <c r="C188" s="3" t="s">
        <v>19</v>
      </c>
      <c r="D188" s="4">
        <v>45412</v>
      </c>
      <c r="E188" s="4">
        <v>46568</v>
      </c>
      <c r="F188" s="3">
        <v>1000</v>
      </c>
      <c r="G188" s="3" t="s">
        <v>20</v>
      </c>
      <c r="H188" s="3">
        <v>977</v>
      </c>
      <c r="I188" s="3" t="s">
        <v>20</v>
      </c>
      <c r="J188" s="3">
        <v>97.7</v>
      </c>
      <c r="K188" s="3">
        <v>100</v>
      </c>
      <c r="L188" s="5">
        <v>9.5000000000000001E-2</v>
      </c>
      <c r="M188" s="3" t="s">
        <v>21</v>
      </c>
      <c r="N188" s="3">
        <v>651</v>
      </c>
      <c r="O188" s="6">
        <f>Table1[[#This Row],[Current coupon %]]*Table1[[#This Row],[Face value]]/Table1[[#This Row],[Ask Price]]</f>
        <v>9.7236438075742074E-2</v>
      </c>
      <c r="P188" s="3"/>
      <c r="Q188" s="3" t="s">
        <v>22</v>
      </c>
      <c r="R188">
        <f t="shared" si="2"/>
        <v>3</v>
      </c>
      <c r="S188" s="22" cm="1">
        <f t="array" ref="S188">_xlfn.IFS(Table1[[#This Row],[Coupon frequency]]="Semi-annual",2,Table1[[#This Row],[Coupon frequency]]="Quarterly",4,Table1[[#This Row],[Coupon frequency]]="Annual",1,Table1[[#This Row],[Coupon frequency]]="Every 4 months",3,Table1[[#This Row],[Coupon frequency]]="Monthly",12)</f>
        <v>1</v>
      </c>
      <c r="T188">
        <f>Table1[[#This Row],[Term to Maturity (Years)]]*Table1[[#This Row],[Coupon Frequency2]]</f>
        <v>3</v>
      </c>
      <c r="U188">
        <f>Table1[[#This Row],[Face value]]*Table1[[#This Row],[Current coupon %]]/Table1[[#This Row],[Coupon Frequency2]]</f>
        <v>95</v>
      </c>
      <c r="V188" s="23">
        <f>RATE(Table1[[#This Row],[Total No. of Coupons]],Table1[[#This Row],[Coupon Amount]],-Table1[[#This Row],[Ask Price]],Table1[[#This Row],[Face value]])</f>
        <v>0.10431904621793119</v>
      </c>
      <c r="W188" s="24">
        <f>Table1[[#This Row],[IRR]]*Table1[[#This Row],[Coupon Frequency2]]</f>
        <v>0.10431904621793119</v>
      </c>
      <c r="X188" s="25" cm="1">
        <f t="array" ref="X18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88" s="26">
        <f>DURATION(Table1[[#This Row],[Issue date]],Table1[[#This Row],[Maturity date]],Table1[[#This Row],[Current coupon %]],Table1[[#This Row],[Yield (Annualised)]],Table1[[#This Row],[Coupon Frequency2]])</f>
        <v>2.6676450306701889</v>
      </c>
      <c r="Z188" s="26">
        <f>Table1[[#This Row],[Macaulay Duration in Years]]/(1+Table1[[#This Row],[IRR]])</f>
        <v>2.4156470358872579</v>
      </c>
      <c r="AA188" s="27">
        <f>VLOOKUP(Table1[[#This Row],[Yield Cluster]],'[1]Cluster Details'!$B$3:$C$16,2,0)</f>
        <v>0.11069942689191503</v>
      </c>
      <c r="AB188" s="28">
        <f>PRICE(Table1[[#This Row],[Issue date]],Table1[[#This Row],[Maturity date]],Table1[[#This Row],[Current coupon %]],Table1[[#This Row],[Average Cluster Yield]],100,Table1[[#This Row],[Coupon Frequency2]])*Table1[[#This Row],[Face value]]/100</f>
        <v>959.18571181375682</v>
      </c>
      <c r="AC188" s="27" t="str">
        <f>IF(Table1[[#This Row],[Ask Price]]&gt;Table1[[#This Row],[Calculated Bond Price]],"Rich","Cheap")</f>
        <v>Rich</v>
      </c>
      <c r="AD188" s="28">
        <f>PRICE(Table1[[#This Row],[Issue date]],Table1[[#This Row],[Maturity date]],Table1[[#This Row],[Current coupon %]],Table1[[#This Row],[Yield (Annualised)]]+$AE$2,100,Table1[[#This Row],[Coupon Frequency2]])*Table1[[#This Row],[Face value]]/100</f>
        <v>950.23593484023218</v>
      </c>
      <c r="AE188" s="28">
        <f>PRICE(Table1[[#This Row],[Issue date]],Table1[[#This Row],[Maturity date]],Table1[[#This Row],[Current coupon %]],Table1[[#This Row],[Yield (Annualised)]]-$AE$2,100,Table1[[#This Row],[Coupon Frequency2]])*Table1[[#This Row],[Face value]]/100</f>
        <v>1001.1921322442945</v>
      </c>
      <c r="AF188" s="28">
        <f>(Table1[[#This Row],[P (+ shock)]]+Table1[[#This Row],[P (-shock)]]-2*Table1[[#This Row],[Ask Price]])/(2*Table1[[#This Row],[Ask Price]]*($AE$2^2))</f>
        <v>-13.162399772125514</v>
      </c>
    </row>
    <row r="189" spans="1:32" x14ac:dyDescent="0.25">
      <c r="A189" s="21" t="s">
        <v>449</v>
      </c>
      <c r="B189" s="3" t="s">
        <v>450</v>
      </c>
      <c r="C189" s="3" t="s">
        <v>19</v>
      </c>
      <c r="D189" s="4">
        <v>45412</v>
      </c>
      <c r="E189" s="4">
        <v>47603</v>
      </c>
      <c r="F189" s="3">
        <v>1000</v>
      </c>
      <c r="G189" s="3" t="s">
        <v>20</v>
      </c>
      <c r="H189" s="3">
        <v>1000</v>
      </c>
      <c r="I189" s="3" t="s">
        <v>20</v>
      </c>
      <c r="J189" s="3">
        <v>100</v>
      </c>
      <c r="K189" s="3">
        <v>10</v>
      </c>
      <c r="L189" s="5">
        <v>0.1</v>
      </c>
      <c r="M189" s="3" t="s">
        <v>21</v>
      </c>
      <c r="N189" s="3">
        <v>1686</v>
      </c>
      <c r="O189" s="6">
        <f>Table1[[#This Row],[Current coupon %]]*Table1[[#This Row],[Face value]]/Table1[[#This Row],[Ask Price]]</f>
        <v>0.1</v>
      </c>
      <c r="P189" s="3"/>
      <c r="Q189" s="3" t="s">
        <v>22</v>
      </c>
      <c r="R189">
        <f t="shared" si="2"/>
        <v>6</v>
      </c>
      <c r="S189" s="22" cm="1">
        <f t="array" ref="S189">_xlfn.IFS(Table1[[#This Row],[Coupon frequency]]="Semi-annual",2,Table1[[#This Row],[Coupon frequency]]="Quarterly",4,Table1[[#This Row],[Coupon frequency]]="Annual",1,Table1[[#This Row],[Coupon frequency]]="Every 4 months",3,Table1[[#This Row],[Coupon frequency]]="Monthly",12)</f>
        <v>1</v>
      </c>
      <c r="T189">
        <f>Table1[[#This Row],[Term to Maturity (Years)]]*Table1[[#This Row],[Coupon Frequency2]]</f>
        <v>6</v>
      </c>
      <c r="U189">
        <f>Table1[[#This Row],[Face value]]*Table1[[#This Row],[Current coupon %]]/Table1[[#This Row],[Coupon Frequency2]]</f>
        <v>100</v>
      </c>
      <c r="V189" s="23">
        <f>RATE(Table1[[#This Row],[Total No. of Coupons]],Table1[[#This Row],[Coupon Amount]],-Table1[[#This Row],[Ask Price]],Table1[[#This Row],[Face value]])</f>
        <v>0.1</v>
      </c>
      <c r="W189" s="24">
        <f>Table1[[#This Row],[IRR]]*Table1[[#This Row],[Coupon Frequency2]]</f>
        <v>0.1</v>
      </c>
      <c r="X189" s="25" cm="1">
        <f t="array" ref="X18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89" s="26">
        <f>DURATION(Table1[[#This Row],[Issue date]],Table1[[#This Row],[Maturity date]],Table1[[#This Row],[Current coupon %]],Table1[[#This Row],[Yield (Annualised)]],Table1[[#This Row],[Coupon Frequency2]])</f>
        <v>4.7907867694084478</v>
      </c>
      <c r="Z189" s="26">
        <f>Table1[[#This Row],[Macaulay Duration in Years]]/(1+Table1[[#This Row],[IRR]])</f>
        <v>4.3552606994622254</v>
      </c>
      <c r="AA189" s="27">
        <f>VLOOKUP(Table1[[#This Row],[Yield Cluster]],'[1]Cluster Details'!$B$3:$C$16,2,0)</f>
        <v>0.11069942689191503</v>
      </c>
      <c r="AB189" s="28">
        <f>PRICE(Table1[[#This Row],[Issue date]],Table1[[#This Row],[Maturity date]],Table1[[#This Row],[Current coupon %]],Table1[[#This Row],[Average Cluster Yield]],100,Table1[[#This Row],[Coupon Frequency2]])*Table1[[#This Row],[Face value]]/100</f>
        <v>954.82672561215441</v>
      </c>
      <c r="AC189" s="27" t="str">
        <f>IF(Table1[[#This Row],[Ask Price]]&gt;Table1[[#This Row],[Calculated Bond Price]],"Rich","Cheap")</f>
        <v>Rich</v>
      </c>
      <c r="AD189" s="28">
        <f>PRICE(Table1[[#This Row],[Issue date]],Table1[[#This Row],[Maturity date]],Table1[[#This Row],[Current coupon %]],Table1[[#This Row],[Yield (Annualised)]]+$AE$2,100,Table1[[#This Row],[Coupon Frequency2]])*Table1[[#This Row],[Face value]]/100</f>
        <v>957.69462146261708</v>
      </c>
      <c r="AE189" s="28">
        <f>PRICE(Table1[[#This Row],[Issue date]],Table1[[#This Row],[Maturity date]],Table1[[#This Row],[Current coupon %]],Table1[[#This Row],[Yield (Annualised)]]-$AE$2,100,Table1[[#This Row],[Coupon Frequency2]])*Table1[[#This Row],[Face value]]/100</f>
        <v>1044.859185902309</v>
      </c>
      <c r="AF189" s="28">
        <f>(Table1[[#This Row],[P (+ shock)]]+Table1[[#This Row],[P (-shock)]]-2*Table1[[#This Row],[Ask Price]])/(2*Table1[[#This Row],[Ask Price]]*($AE$2^2))</f>
        <v>12.769036824630575</v>
      </c>
    </row>
    <row r="190" spans="1:32" x14ac:dyDescent="0.25">
      <c r="A190" s="21" t="s">
        <v>451</v>
      </c>
      <c r="B190" s="3" t="s">
        <v>452</v>
      </c>
      <c r="C190" s="3" t="s">
        <v>19</v>
      </c>
      <c r="D190" s="4">
        <v>45854</v>
      </c>
      <c r="E190" s="4">
        <v>47680</v>
      </c>
      <c r="F190" s="3">
        <v>1000</v>
      </c>
      <c r="G190" s="3" t="s">
        <v>20</v>
      </c>
      <c r="H190" s="3">
        <v>970</v>
      </c>
      <c r="I190" s="3" t="s">
        <v>20</v>
      </c>
      <c r="J190" s="3">
        <v>97</v>
      </c>
      <c r="K190" s="3">
        <v>20</v>
      </c>
      <c r="L190" s="5">
        <v>9.6999999999999989E-2</v>
      </c>
      <c r="M190" s="3" t="s">
        <v>21</v>
      </c>
      <c r="N190" s="3">
        <v>1763</v>
      </c>
      <c r="O190" s="6">
        <f>Table1[[#This Row],[Current coupon %]]*Table1[[#This Row],[Face value]]/Table1[[#This Row],[Ask Price]]</f>
        <v>9.9999999999999992E-2</v>
      </c>
      <c r="P190" s="3"/>
      <c r="Q190" s="3" t="s">
        <v>22</v>
      </c>
      <c r="R190">
        <f t="shared" si="2"/>
        <v>5</v>
      </c>
      <c r="S190" s="22" cm="1">
        <f t="array" ref="S190">_xlfn.IFS(Table1[[#This Row],[Coupon frequency]]="Semi-annual",2,Table1[[#This Row],[Coupon frequency]]="Quarterly",4,Table1[[#This Row],[Coupon frequency]]="Annual",1,Table1[[#This Row],[Coupon frequency]]="Every 4 months",3,Table1[[#This Row],[Coupon frequency]]="Monthly",12)</f>
        <v>1</v>
      </c>
      <c r="T190">
        <f>Table1[[#This Row],[Term to Maturity (Years)]]*Table1[[#This Row],[Coupon Frequency2]]</f>
        <v>5</v>
      </c>
      <c r="U190">
        <f>Table1[[#This Row],[Face value]]*Table1[[#This Row],[Current coupon %]]/Table1[[#This Row],[Coupon Frequency2]]</f>
        <v>96.999999999999986</v>
      </c>
      <c r="V190" s="23">
        <f>RATE(Table1[[#This Row],[Total No. of Coupons]],Table1[[#This Row],[Coupon Amount]],-Table1[[#This Row],[Ask Price]],Table1[[#This Row],[Face value]])</f>
        <v>0.10501558145790819</v>
      </c>
      <c r="W190" s="24">
        <f>Table1[[#This Row],[IRR]]*Table1[[#This Row],[Coupon Frequency2]]</f>
        <v>0.10501558145790819</v>
      </c>
      <c r="X190" s="25" cm="1">
        <f t="array" ref="X19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90" s="26">
        <f>DURATION(Table1[[#This Row],[Issue date]],Table1[[#This Row],[Maturity date]],Table1[[#This Row],[Current coupon %]],Table1[[#This Row],[Yield (Annualised)]],Table1[[#This Row],[Coupon Frequency2]])</f>
        <v>4.1770300266164506</v>
      </c>
      <c r="Z190" s="26">
        <f>Table1[[#This Row],[Macaulay Duration in Years]]/(1+Table1[[#This Row],[IRR]])</f>
        <v>3.7800643689616251</v>
      </c>
      <c r="AA190" s="27">
        <f>VLOOKUP(Table1[[#This Row],[Yield Cluster]],'[1]Cluster Details'!$B$3:$C$16,2,0)</f>
        <v>0.11069942689191503</v>
      </c>
      <c r="AB190" s="28">
        <f>PRICE(Table1[[#This Row],[Issue date]],Table1[[#This Row],[Maturity date]],Table1[[#This Row],[Current coupon %]],Table1[[#This Row],[Average Cluster Yield]],100,Table1[[#This Row],[Coupon Frequency2]])*Table1[[#This Row],[Face value]]/100</f>
        <v>949.45728640210916</v>
      </c>
      <c r="AC190" s="27" t="str">
        <f>IF(Table1[[#This Row],[Ask Price]]&gt;Table1[[#This Row],[Calculated Bond Price]],"Rich","Cheap")</f>
        <v>Rich</v>
      </c>
      <c r="AD190" s="28">
        <f>PRICE(Table1[[#This Row],[Issue date]],Table1[[#This Row],[Maturity date]],Table1[[#This Row],[Current coupon %]],Table1[[#This Row],[Yield (Annualised)]]+$AE$2,100,Table1[[#This Row],[Coupon Frequency2]])*Table1[[#This Row],[Face value]]/100</f>
        <v>934.2478858738906</v>
      </c>
      <c r="AE190" s="28">
        <f>PRICE(Table1[[#This Row],[Issue date]],Table1[[#This Row],[Maturity date]],Table1[[#This Row],[Current coupon %]],Table1[[#This Row],[Yield (Annualised)]]-$AE$2,100,Table1[[#This Row],[Coupon Frequency2]])*Table1[[#This Row],[Face value]]/100</f>
        <v>1007.6192836599373</v>
      </c>
      <c r="AF190" s="28">
        <f>(Table1[[#This Row],[P (+ shock)]]+Table1[[#This Row],[P (-shock)]]-2*Table1[[#This Row],[Ask Price]])/(2*Table1[[#This Row],[Ask Price]]*($AE$2^2))</f>
        <v>9.6245852259176221</v>
      </c>
    </row>
    <row r="191" spans="1:32" x14ac:dyDescent="0.25">
      <c r="A191" s="21" t="s">
        <v>73</v>
      </c>
      <c r="B191" s="3" t="s">
        <v>74</v>
      </c>
      <c r="C191" s="3" t="s">
        <v>19</v>
      </c>
      <c r="D191" s="4">
        <v>45796</v>
      </c>
      <c r="E191" s="4">
        <v>46892</v>
      </c>
      <c r="F191" s="3">
        <v>1000</v>
      </c>
      <c r="G191" s="3" t="s">
        <v>20</v>
      </c>
      <c r="H191" s="3">
        <v>1000</v>
      </c>
      <c r="I191" s="3" t="s">
        <v>20</v>
      </c>
      <c r="J191" s="3">
        <v>100</v>
      </c>
      <c r="K191" s="3">
        <v>511</v>
      </c>
      <c r="L191" s="5">
        <v>9.6500000000000002E-2</v>
      </c>
      <c r="M191" s="3" t="s">
        <v>21</v>
      </c>
      <c r="N191" s="3">
        <v>975</v>
      </c>
      <c r="O191" s="6">
        <f>Table1[[#This Row],[Current coupon %]]*Table1[[#This Row],[Face value]]/Table1[[#This Row],[Ask Price]]</f>
        <v>9.6500000000000002E-2</v>
      </c>
      <c r="P191" s="3"/>
      <c r="Q191" s="3" t="s">
        <v>22</v>
      </c>
      <c r="R191">
        <f t="shared" si="2"/>
        <v>3</v>
      </c>
      <c r="S191" s="22" cm="1">
        <f t="array" ref="S191">_xlfn.IFS(Table1[[#This Row],[Coupon frequency]]="Semi-annual",2,Table1[[#This Row],[Coupon frequency]]="Quarterly",4,Table1[[#This Row],[Coupon frequency]]="Annual",1,Table1[[#This Row],[Coupon frequency]]="Every 4 months",3,Table1[[#This Row],[Coupon frequency]]="Monthly",12)</f>
        <v>1</v>
      </c>
      <c r="T191">
        <f>Table1[[#This Row],[Term to Maturity (Years)]]*Table1[[#This Row],[Coupon Frequency2]]</f>
        <v>3</v>
      </c>
      <c r="U191">
        <f>Table1[[#This Row],[Face value]]*Table1[[#This Row],[Current coupon %]]/Table1[[#This Row],[Coupon Frequency2]]</f>
        <v>96.5</v>
      </c>
      <c r="V191" s="23">
        <f>RATE(Table1[[#This Row],[Total No. of Coupons]],Table1[[#This Row],[Coupon Amount]],-Table1[[#This Row],[Ask Price]],Table1[[#This Row],[Face value]])</f>
        <v>9.6500000000966715E-2</v>
      </c>
      <c r="W191" s="24">
        <f>Table1[[#This Row],[IRR]]*Table1[[#This Row],[Coupon Frequency2]]</f>
        <v>9.6500000000966715E-2</v>
      </c>
      <c r="X191" s="25" cm="1">
        <f t="array" ref="X19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91" s="26">
        <f>DURATION(Table1[[#This Row],[Issue date]],Table1[[#This Row],[Maturity date]],Table1[[#This Row],[Current coupon %]],Table1[[#This Row],[Yield (Annualised)]],Table1[[#This Row],[Coupon Frequency2]])</f>
        <v>2.743723396313738</v>
      </c>
      <c r="Z191" s="26">
        <f>Table1[[#This Row],[Macaulay Duration in Years]]/(1+Table1[[#This Row],[IRR]])</f>
        <v>2.5022557193901678</v>
      </c>
      <c r="AA191" s="27">
        <f>VLOOKUP(Table1[[#This Row],[Yield Cluster]],'[1]Cluster Details'!$B$3:$C$16,2,0)</f>
        <v>7.8548801574189142E-2</v>
      </c>
      <c r="AB191" s="28">
        <f>PRICE(Table1[[#This Row],[Issue date]],Table1[[#This Row],[Maturity date]],Table1[[#This Row],[Current coupon %]],Table1[[#This Row],[Average Cluster Yield]],100,Table1[[#This Row],[Coupon Frequency2]])*Table1[[#This Row],[Face value]]/100</f>
        <v>1046.3833860773871</v>
      </c>
      <c r="AC191" s="27" t="str">
        <f>IF(Table1[[#This Row],[Ask Price]]&gt;Table1[[#This Row],[Calculated Bond Price]],"Rich","Cheap")</f>
        <v>Cheap</v>
      </c>
      <c r="AD191" s="28">
        <f>PRICE(Table1[[#This Row],[Issue date]],Table1[[#This Row],[Maturity date]],Table1[[#This Row],[Current coupon %]],Table1[[#This Row],[Yield (Annualised)]]+$AE$2,100,Table1[[#This Row],[Coupon Frequency2]])*Table1[[#This Row],[Face value]]/100</f>
        <v>975.4133244594799</v>
      </c>
      <c r="AE191" s="28">
        <f>PRICE(Table1[[#This Row],[Issue date]],Table1[[#This Row],[Maturity date]],Table1[[#This Row],[Current coupon %]],Table1[[#This Row],[Yield (Annualised)]]-$AE$2,100,Table1[[#This Row],[Coupon Frequency2]])*Table1[[#This Row],[Face value]]/100</f>
        <v>1025.4716795789202</v>
      </c>
      <c r="AF191" s="28">
        <f>(Table1[[#This Row],[P (+ shock)]]+Table1[[#This Row],[P (-shock)]]-2*Table1[[#This Row],[Ask Price]])/(2*Table1[[#This Row],[Ask Price]]*($AE$2^2))</f>
        <v>4.4250201919999199</v>
      </c>
    </row>
    <row r="192" spans="1:32" x14ac:dyDescent="0.25">
      <c r="A192" s="21" t="s">
        <v>453</v>
      </c>
      <c r="B192" s="3" t="s">
        <v>454</v>
      </c>
      <c r="C192" s="3" t="s">
        <v>19</v>
      </c>
      <c r="D192" s="4">
        <v>45259</v>
      </c>
      <c r="E192" s="4">
        <v>46355</v>
      </c>
      <c r="F192" s="3">
        <v>100000</v>
      </c>
      <c r="G192" s="3" t="s">
        <v>20</v>
      </c>
      <c r="H192" s="3">
        <v>99020.68</v>
      </c>
      <c r="I192" s="3" t="s">
        <v>20</v>
      </c>
      <c r="J192" s="3">
        <v>99.020679999999999</v>
      </c>
      <c r="K192" s="3">
        <v>5</v>
      </c>
      <c r="L192" s="5">
        <v>9.9000000000000005E-2</v>
      </c>
      <c r="M192" s="3" t="s">
        <v>44</v>
      </c>
      <c r="N192" s="3">
        <v>438</v>
      </c>
      <c r="O192" s="6">
        <f>Table1[[#This Row],[Current coupon %]]*Table1[[#This Row],[Face value]]/Table1[[#This Row],[Ask Price]]</f>
        <v>9.9979115473656621E-2</v>
      </c>
      <c r="P192" s="3"/>
      <c r="Q192" s="3" t="s">
        <v>22</v>
      </c>
      <c r="R192">
        <f t="shared" si="2"/>
        <v>3</v>
      </c>
      <c r="S192" s="22" cm="1">
        <f t="array" ref="S192">_xlfn.IFS(Table1[[#This Row],[Coupon frequency]]="Semi-annual",2,Table1[[#This Row],[Coupon frequency]]="Quarterly",4,Table1[[#This Row],[Coupon frequency]]="Annual",1,Table1[[#This Row],[Coupon frequency]]="Every 4 months",3,Table1[[#This Row],[Coupon frequency]]="Monthly",12)</f>
        <v>4</v>
      </c>
      <c r="T192">
        <f>Table1[[#This Row],[Term to Maturity (Years)]]*Table1[[#This Row],[Coupon Frequency2]]</f>
        <v>12</v>
      </c>
      <c r="U192">
        <f>Table1[[#This Row],[Face value]]*Table1[[#This Row],[Current coupon %]]/Table1[[#This Row],[Coupon Frequency2]]</f>
        <v>2475</v>
      </c>
      <c r="V192" s="23">
        <f>RATE(Table1[[#This Row],[Total No. of Coupons]],Table1[[#This Row],[Coupon Amount]],-Table1[[#This Row],[Ask Price]],Table1[[#This Row],[Face value]])</f>
        <v>2.5708812955639204E-2</v>
      </c>
      <c r="W192" s="24">
        <f>Table1[[#This Row],[IRR]]*Table1[[#This Row],[Coupon Frequency2]]</f>
        <v>0.10283525182255682</v>
      </c>
      <c r="X192" s="25" cm="1">
        <f t="array" ref="X19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92" s="26">
        <f>DURATION(Table1[[#This Row],[Issue date]],Table1[[#This Row],[Maturity date]],Table1[[#This Row],[Current coupon %]],Table1[[#This Row],[Yield (Annualised)]],Table1[[#This Row],[Coupon Frequency2]])</f>
        <v>2.6296951765204244</v>
      </c>
      <c r="Z192" s="26">
        <f>Table1[[#This Row],[Macaulay Duration in Years]]/(1+Table1[[#This Row],[IRR]])</f>
        <v>2.5637833499185856</v>
      </c>
      <c r="AA192" s="27">
        <f>VLOOKUP(Table1[[#This Row],[Yield Cluster]],'[1]Cluster Details'!$B$3:$C$16,2,0)</f>
        <v>0.11069942689191503</v>
      </c>
      <c r="AB192" s="28">
        <f>PRICE(Table1[[#This Row],[Issue date]],Table1[[#This Row],[Maturity date]],Table1[[#This Row],[Current coupon %]],Table1[[#This Row],[Average Cluster Yield]],100,Table1[[#This Row],[Coupon Frequency2]])*Table1[[#This Row],[Face value]]/100</f>
        <v>97047.769539049827</v>
      </c>
      <c r="AC192" s="27" t="str">
        <f>IF(Table1[[#This Row],[Ask Price]]&gt;Table1[[#This Row],[Calculated Bond Price]],"Rich","Cheap")</f>
        <v>Rich</v>
      </c>
      <c r="AD192" s="28">
        <f>PRICE(Table1[[#This Row],[Issue date]],Table1[[#This Row],[Maturity date]],Table1[[#This Row],[Current coupon %]],Table1[[#This Row],[Yield (Annualised)]]+$AE$2,100,Table1[[#This Row],[Coupon Frequency2]])*Table1[[#This Row],[Face value]]/100</f>
        <v>96519.991163069106</v>
      </c>
      <c r="AE192" s="28">
        <f>PRICE(Table1[[#This Row],[Issue date]],Table1[[#This Row],[Maturity date]],Table1[[#This Row],[Current coupon %]],Table1[[#This Row],[Yield (Annualised)]]-$AE$2,100,Table1[[#This Row],[Coupon Frequency2]])*Table1[[#This Row],[Face value]]/100</f>
        <v>101598.19634327506</v>
      </c>
      <c r="AF192" s="28">
        <f>(Table1[[#This Row],[P (+ shock)]]+Table1[[#This Row],[P (-shock)]]-2*Table1[[#This Row],[Ask Price]])/(2*Table1[[#This Row],[Ask Price]]*($AE$2^2))</f>
        <v>3.8793667314839357</v>
      </c>
    </row>
    <row r="193" spans="1:32" x14ac:dyDescent="0.25">
      <c r="A193" s="21" t="s">
        <v>455</v>
      </c>
      <c r="B193" s="3" t="s">
        <v>456</v>
      </c>
      <c r="C193" s="3" t="s">
        <v>19</v>
      </c>
      <c r="D193" s="4">
        <v>45225</v>
      </c>
      <c r="E193" s="4">
        <v>48878</v>
      </c>
      <c r="F193" s="3">
        <v>1000</v>
      </c>
      <c r="G193" s="3" t="s">
        <v>20</v>
      </c>
      <c r="H193" s="3">
        <v>1016.8</v>
      </c>
      <c r="I193" s="3" t="s">
        <v>20</v>
      </c>
      <c r="J193" s="3">
        <v>101.679999999999</v>
      </c>
      <c r="K193" s="3">
        <v>80</v>
      </c>
      <c r="L193" s="5">
        <v>0.1045</v>
      </c>
      <c r="M193" s="3" t="s">
        <v>21</v>
      </c>
      <c r="N193" s="3">
        <v>2961</v>
      </c>
      <c r="O193" s="6">
        <f>Table1[[#This Row],[Current coupon %]]*Table1[[#This Row],[Face value]]/Table1[[#This Row],[Ask Price]]</f>
        <v>0.10277340676632574</v>
      </c>
      <c r="P193" s="3"/>
      <c r="Q193" s="3" t="s">
        <v>22</v>
      </c>
      <c r="R193">
        <f t="shared" si="2"/>
        <v>10</v>
      </c>
      <c r="S193" s="22" cm="1">
        <f t="array" ref="S193">_xlfn.IFS(Table1[[#This Row],[Coupon frequency]]="Semi-annual",2,Table1[[#This Row],[Coupon frequency]]="Quarterly",4,Table1[[#This Row],[Coupon frequency]]="Annual",1,Table1[[#This Row],[Coupon frequency]]="Every 4 months",3,Table1[[#This Row],[Coupon frequency]]="Monthly",12)</f>
        <v>1</v>
      </c>
      <c r="T193">
        <f>Table1[[#This Row],[Term to Maturity (Years)]]*Table1[[#This Row],[Coupon Frequency2]]</f>
        <v>10</v>
      </c>
      <c r="U193">
        <f>Table1[[#This Row],[Face value]]*Table1[[#This Row],[Current coupon %]]/Table1[[#This Row],[Coupon Frequency2]]</f>
        <v>104.5</v>
      </c>
      <c r="V193" s="23">
        <f>RATE(Table1[[#This Row],[Total No. of Coupons]],Table1[[#This Row],[Coupon Amount]],-Table1[[#This Row],[Ask Price]],Table1[[#This Row],[Face value]])</f>
        <v>0.10174534413177359</v>
      </c>
      <c r="W193" s="24">
        <f>Table1[[#This Row],[IRR]]*Table1[[#This Row],[Coupon Frequency2]]</f>
        <v>0.10174534413177359</v>
      </c>
      <c r="X193" s="25" cm="1">
        <f t="array" ref="X19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93" s="26">
        <f>DURATION(Table1[[#This Row],[Issue date]],Table1[[#This Row],[Maturity date]],Table1[[#This Row],[Current coupon %]],Table1[[#This Row],[Yield (Annualised)]],Table1[[#This Row],[Coupon Frequency2]])</f>
        <v>6.6861372027775001</v>
      </c>
      <c r="Z193" s="26">
        <f>Table1[[#This Row],[Macaulay Duration in Years]]/(1+Table1[[#This Row],[IRR]])</f>
        <v>6.0686775200729226</v>
      </c>
      <c r="AA193" s="27">
        <f>VLOOKUP(Table1[[#This Row],[Yield Cluster]],'[1]Cluster Details'!$B$3:$C$16,2,0)</f>
        <v>0.11069942689191503</v>
      </c>
      <c r="AB193" s="28">
        <f>PRICE(Table1[[#This Row],[Issue date]],Table1[[#This Row],[Maturity date]],Table1[[#This Row],[Current coupon %]],Table1[[#This Row],[Average Cluster Yield]],100,Table1[[#This Row],[Coupon Frequency2]])*Table1[[#This Row],[Face value]]/100</f>
        <v>963.59696641729215</v>
      </c>
      <c r="AC193" s="27" t="str">
        <f>IF(Table1[[#This Row],[Ask Price]]&gt;Table1[[#This Row],[Calculated Bond Price]],"Rich","Cheap")</f>
        <v>Rich</v>
      </c>
      <c r="AD193" s="28">
        <f>PRICE(Table1[[#This Row],[Issue date]],Table1[[#This Row],[Maturity date]],Table1[[#This Row],[Current coupon %]],Table1[[#This Row],[Yield (Annualised)]]+$AE$2,100,Table1[[#This Row],[Coupon Frequency2]])*Table1[[#This Row],[Face value]]/100</f>
        <v>957.64097333161089</v>
      </c>
      <c r="AE193" s="28">
        <f>PRICE(Table1[[#This Row],[Issue date]],Table1[[#This Row],[Maturity date]],Table1[[#This Row],[Current coupon %]],Table1[[#This Row],[Yield (Annualised)]]-$AE$2,100,Table1[[#This Row],[Coupon Frequency2]])*Table1[[#This Row],[Face value]]/100</f>
        <v>1081.2299114929149</v>
      </c>
      <c r="AF193" s="28">
        <f>(Table1[[#This Row],[P (+ shock)]]+Table1[[#This Row],[P (-shock)]]-2*Table1[[#This Row],[Ask Price]])/(2*Table1[[#This Row],[Ask Price]]*($AE$2^2))</f>
        <v>25.918985171744023</v>
      </c>
    </row>
    <row r="194" spans="1:32" x14ac:dyDescent="0.25">
      <c r="A194" s="21" t="s">
        <v>67</v>
      </c>
      <c r="B194" s="3" t="s">
        <v>68</v>
      </c>
      <c r="C194" s="3" t="s">
        <v>19</v>
      </c>
      <c r="D194" s="4">
        <v>43866</v>
      </c>
      <c r="E194" s="4">
        <v>47519</v>
      </c>
      <c r="F194" s="3">
        <v>1000</v>
      </c>
      <c r="G194" s="3" t="s">
        <v>20</v>
      </c>
      <c r="H194" s="3">
        <v>1030</v>
      </c>
      <c r="I194" s="3" t="s">
        <v>20</v>
      </c>
      <c r="J194" s="3">
        <v>103</v>
      </c>
      <c r="K194" s="3">
        <v>100</v>
      </c>
      <c r="L194" s="5">
        <v>0.10249999999999999</v>
      </c>
      <c r="M194" s="3" t="s">
        <v>21</v>
      </c>
      <c r="N194" s="3">
        <v>1602</v>
      </c>
      <c r="O194" s="6">
        <f>Table1[[#This Row],[Current coupon %]]*Table1[[#This Row],[Face value]]/Table1[[#This Row],[Ask Price]]</f>
        <v>9.9514563106796114E-2</v>
      </c>
      <c r="P194" s="3"/>
      <c r="Q194" s="3" t="s">
        <v>22</v>
      </c>
      <c r="R194">
        <f t="shared" si="2"/>
        <v>10</v>
      </c>
      <c r="S194" s="22" cm="1">
        <f t="array" ref="S194">_xlfn.IFS(Table1[[#This Row],[Coupon frequency]]="Semi-annual",2,Table1[[#This Row],[Coupon frequency]]="Quarterly",4,Table1[[#This Row],[Coupon frequency]]="Annual",1,Table1[[#This Row],[Coupon frequency]]="Every 4 months",3,Table1[[#This Row],[Coupon frequency]]="Monthly",12)</f>
        <v>1</v>
      </c>
      <c r="T194">
        <f>Table1[[#This Row],[Term to Maturity (Years)]]*Table1[[#This Row],[Coupon Frequency2]]</f>
        <v>10</v>
      </c>
      <c r="U194">
        <f>Table1[[#This Row],[Face value]]*Table1[[#This Row],[Current coupon %]]/Table1[[#This Row],[Coupon Frequency2]]</f>
        <v>102.5</v>
      </c>
      <c r="V194" s="23">
        <f>RATE(Table1[[#This Row],[Total No. of Coupons]],Table1[[#This Row],[Coupon Amount]],-Table1[[#This Row],[Ask Price]],Table1[[#This Row],[Face value]])</f>
        <v>9.7666474499080877E-2</v>
      </c>
      <c r="W194" s="24">
        <f>Table1[[#This Row],[IRR]]*Table1[[#This Row],[Coupon Frequency2]]</f>
        <v>9.7666474499080877E-2</v>
      </c>
      <c r="X194" s="25" cm="1">
        <f t="array" ref="X19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94" s="26">
        <f>DURATION(Table1[[#This Row],[Issue date]],Table1[[#This Row],[Maturity date]],Table1[[#This Row],[Current coupon %]],Table1[[#This Row],[Yield (Annualised)]],Table1[[#This Row],[Coupon Frequency2]])</f>
        <v>6.7525223588474219</v>
      </c>
      <c r="Z194" s="26">
        <f>Table1[[#This Row],[Macaulay Duration in Years]]/(1+Table1[[#This Row],[IRR]])</f>
        <v>6.151706839665418</v>
      </c>
      <c r="AA194" s="27">
        <f>VLOOKUP(Table1[[#This Row],[Yield Cluster]],'[1]Cluster Details'!$B$3:$C$16,2,0)</f>
        <v>7.8548801574189142E-2</v>
      </c>
      <c r="AB194" s="28">
        <f>PRICE(Table1[[#This Row],[Issue date]],Table1[[#This Row],[Maturity date]],Table1[[#This Row],[Current coupon %]],Table1[[#This Row],[Average Cluster Yield]],100,Table1[[#This Row],[Coupon Frequency2]])*Table1[[#This Row],[Face value]]/100</f>
        <v>1161.7717971555044</v>
      </c>
      <c r="AC194" s="27" t="str">
        <f>IF(Table1[[#This Row],[Ask Price]]&gt;Table1[[#This Row],[Calculated Bond Price]],"Rich","Cheap")</f>
        <v>Cheap</v>
      </c>
      <c r="AD194" s="28">
        <f>PRICE(Table1[[#This Row],[Issue date]],Table1[[#This Row],[Maturity date]],Table1[[#This Row],[Current coupon %]],Table1[[#This Row],[Yield (Annualised)]]+$AE$2,100,Table1[[#This Row],[Coupon Frequency2]])*Table1[[#This Row],[Face value]]/100</f>
        <v>969.27340327367517</v>
      </c>
      <c r="AE194" s="28">
        <f>PRICE(Table1[[#This Row],[Issue date]],Table1[[#This Row],[Maturity date]],Table1[[#This Row],[Current coupon %]],Table1[[#This Row],[Yield (Annualised)]]-$AE$2,100,Table1[[#This Row],[Coupon Frequency2]])*Table1[[#This Row],[Face value]]/100</f>
        <v>1096.1821353339733</v>
      </c>
      <c r="AF194" s="28">
        <f>(Table1[[#This Row],[P (+ shock)]]+Table1[[#This Row],[P (-shock)]]-2*Table1[[#This Row],[Ask Price]])/(2*Table1[[#This Row],[Ask Price]]*($AE$2^2))</f>
        <v>26.483197124507655</v>
      </c>
    </row>
    <row r="195" spans="1:32" x14ac:dyDescent="0.25">
      <c r="A195" s="21" t="s">
        <v>457</v>
      </c>
      <c r="B195" s="3" t="s">
        <v>458</v>
      </c>
      <c r="C195" s="3" t="s">
        <v>19</v>
      </c>
      <c r="D195" s="4">
        <v>45275</v>
      </c>
      <c r="E195" s="4">
        <v>48928</v>
      </c>
      <c r="F195" s="3">
        <v>100000</v>
      </c>
      <c r="G195" s="3" t="s">
        <v>20</v>
      </c>
      <c r="H195" s="3">
        <v>100000</v>
      </c>
      <c r="I195" s="3" t="s">
        <v>20</v>
      </c>
      <c r="J195" s="3">
        <v>100</v>
      </c>
      <c r="K195" s="3">
        <v>11</v>
      </c>
      <c r="L195" s="5">
        <v>9.9499999999999991E-2</v>
      </c>
      <c r="M195" s="3" t="s">
        <v>44</v>
      </c>
      <c r="N195" s="3">
        <v>3011</v>
      </c>
      <c r="O195" s="6">
        <f>Table1[[#This Row],[Current coupon %]]*Table1[[#This Row],[Face value]]/Table1[[#This Row],[Ask Price]]</f>
        <v>9.9500000000000005E-2</v>
      </c>
      <c r="P195" s="3"/>
      <c r="Q195" s="3" t="s">
        <v>22</v>
      </c>
      <c r="R195">
        <f t="shared" si="2"/>
        <v>10</v>
      </c>
      <c r="S195" s="22" cm="1">
        <f t="array" ref="S195">_xlfn.IFS(Table1[[#This Row],[Coupon frequency]]="Semi-annual",2,Table1[[#This Row],[Coupon frequency]]="Quarterly",4,Table1[[#This Row],[Coupon frequency]]="Annual",1,Table1[[#This Row],[Coupon frequency]]="Every 4 months",3,Table1[[#This Row],[Coupon frequency]]="Monthly",12)</f>
        <v>4</v>
      </c>
      <c r="T195">
        <f>Table1[[#This Row],[Term to Maturity (Years)]]*Table1[[#This Row],[Coupon Frequency2]]</f>
        <v>40</v>
      </c>
      <c r="U195">
        <f>Table1[[#This Row],[Face value]]*Table1[[#This Row],[Current coupon %]]/Table1[[#This Row],[Coupon Frequency2]]</f>
        <v>2487.5</v>
      </c>
      <c r="V195" s="23">
        <f>RATE(Table1[[#This Row],[Total No. of Coupons]],Table1[[#This Row],[Coupon Amount]],-Table1[[#This Row],[Ask Price]],Table1[[#This Row],[Face value]])</f>
        <v>2.4875000000000001E-2</v>
      </c>
      <c r="W195" s="24">
        <f>Table1[[#This Row],[IRR]]*Table1[[#This Row],[Coupon Frequency2]]</f>
        <v>9.9500000000000005E-2</v>
      </c>
      <c r="X195" s="25" cm="1">
        <f t="array" ref="X19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195" s="26">
        <f>DURATION(Table1[[#This Row],[Issue date]],Table1[[#This Row],[Maturity date]],Table1[[#This Row],[Current coupon %]],Table1[[#This Row],[Yield (Annualised)]],Table1[[#This Row],[Coupon Frequency2]])</f>
        <v>6.4453625702344226</v>
      </c>
      <c r="Z195" s="26">
        <f>Table1[[#This Row],[Macaulay Duration in Years]]/(1+Table1[[#This Row],[IRR]])</f>
        <v>6.2889255472466621</v>
      </c>
      <c r="AA195" s="27">
        <f>VLOOKUP(Table1[[#This Row],[Yield Cluster]],'[1]Cluster Details'!$B$3:$C$16,2,0)</f>
        <v>7.8548801574189142E-2</v>
      </c>
      <c r="AB195" s="28">
        <f>PRICE(Table1[[#This Row],[Issue date]],Table1[[#This Row],[Maturity date]],Table1[[#This Row],[Current coupon %]],Table1[[#This Row],[Average Cluster Yield]],100,Table1[[#This Row],[Coupon Frequency2]])*Table1[[#This Row],[Face value]]/100</f>
        <v>114419.84291805864</v>
      </c>
      <c r="AC195" s="27" t="str">
        <f>IF(Table1[[#This Row],[Ask Price]]&gt;Table1[[#This Row],[Calculated Bond Price]],"Rich","Cheap")</f>
        <v>Cheap</v>
      </c>
      <c r="AD195" s="28">
        <f>PRICE(Table1[[#This Row],[Issue date]],Table1[[#This Row],[Maturity date]],Table1[[#This Row],[Current coupon %]],Table1[[#This Row],[Yield (Annualised)]]+$AE$2,100,Table1[[#This Row],[Coupon Frequency2]])*Table1[[#This Row],[Face value]]/100</f>
        <v>93968.03997900954</v>
      </c>
      <c r="AE195" s="28">
        <f>PRICE(Table1[[#This Row],[Issue date]],Table1[[#This Row],[Maturity date]],Table1[[#This Row],[Current coupon %]],Table1[[#This Row],[Yield (Annualised)]]-$AE$2,100,Table1[[#This Row],[Coupon Frequency2]])*Table1[[#This Row],[Face value]]/100</f>
        <v>106562.47107187334</v>
      </c>
      <c r="AF195" s="28">
        <f>(Table1[[#This Row],[P (+ shock)]]+Table1[[#This Row],[P (-shock)]]-2*Table1[[#This Row],[Ask Price]])/(2*Table1[[#This Row],[Ask Price]]*($AE$2^2))</f>
        <v>26.525552544143284</v>
      </c>
    </row>
    <row r="196" spans="1:32" x14ac:dyDescent="0.25">
      <c r="A196" s="21" t="s">
        <v>459</v>
      </c>
      <c r="B196" s="3" t="s">
        <v>460</v>
      </c>
      <c r="C196" s="3" t="s">
        <v>19</v>
      </c>
      <c r="D196" s="4">
        <v>45667</v>
      </c>
      <c r="E196" s="4">
        <v>47493</v>
      </c>
      <c r="F196" s="3">
        <v>1000</v>
      </c>
      <c r="G196" s="3" t="s">
        <v>20</v>
      </c>
      <c r="H196" s="3">
        <v>995</v>
      </c>
      <c r="I196" s="3" t="s">
        <v>20</v>
      </c>
      <c r="J196" s="3">
        <v>99.5</v>
      </c>
      <c r="K196" s="3">
        <v>2</v>
      </c>
      <c r="L196" s="5">
        <v>9.9000000000000005E-2</v>
      </c>
      <c r="M196" s="3" t="s">
        <v>21</v>
      </c>
      <c r="N196" s="3">
        <v>1576</v>
      </c>
      <c r="O196" s="6">
        <f>Table1[[#This Row],[Current coupon %]]*Table1[[#This Row],[Face value]]/Table1[[#This Row],[Ask Price]]</f>
        <v>9.9497487437185936E-2</v>
      </c>
      <c r="P196" s="3"/>
      <c r="Q196" s="3" t="s">
        <v>22</v>
      </c>
      <c r="R196">
        <f t="shared" ref="R196:R259" si="3">ROUND(YEARFRAC(D196,E196),0)</f>
        <v>5</v>
      </c>
      <c r="S196" s="22" cm="1">
        <f t="array" ref="S196">_xlfn.IFS(Table1[[#This Row],[Coupon frequency]]="Semi-annual",2,Table1[[#This Row],[Coupon frequency]]="Quarterly",4,Table1[[#This Row],[Coupon frequency]]="Annual",1,Table1[[#This Row],[Coupon frequency]]="Every 4 months",3,Table1[[#This Row],[Coupon frequency]]="Monthly",12)</f>
        <v>1</v>
      </c>
      <c r="T196">
        <f>Table1[[#This Row],[Term to Maturity (Years)]]*Table1[[#This Row],[Coupon Frequency2]]</f>
        <v>5</v>
      </c>
      <c r="U196">
        <f>Table1[[#This Row],[Face value]]*Table1[[#This Row],[Current coupon %]]/Table1[[#This Row],[Coupon Frequency2]]</f>
        <v>99</v>
      </c>
      <c r="V196" s="23">
        <f>RATE(Table1[[#This Row],[Total No. of Coupons]],Table1[[#This Row],[Coupon Amount]],-Table1[[#This Row],[Ask Price]],Table1[[#This Row],[Face value]])</f>
        <v>0.10032006606076428</v>
      </c>
      <c r="W196" s="24">
        <f>Table1[[#This Row],[IRR]]*Table1[[#This Row],[Coupon Frequency2]]</f>
        <v>0.10032006606076428</v>
      </c>
      <c r="X196" s="25" cm="1">
        <f t="array" ref="X19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96" s="26">
        <f>DURATION(Table1[[#This Row],[Issue date]],Table1[[#This Row],[Maturity date]],Table1[[#This Row],[Current coupon %]],Table1[[#This Row],[Yield (Annualised)]],Table1[[#This Row],[Coupon Frequency2]])</f>
        <v>4.1744951839564681</v>
      </c>
      <c r="Z196" s="26">
        <f>Table1[[#This Row],[Macaulay Duration in Years]]/(1+Table1[[#This Row],[IRR]])</f>
        <v>3.793891716345319</v>
      </c>
      <c r="AA196" s="27">
        <f>VLOOKUP(Table1[[#This Row],[Yield Cluster]],'[1]Cluster Details'!$B$3:$C$16,2,0)</f>
        <v>0.11069942689191503</v>
      </c>
      <c r="AB196" s="28">
        <f>PRICE(Table1[[#This Row],[Issue date]],Table1[[#This Row],[Maturity date]],Table1[[#This Row],[Current coupon %]],Table1[[#This Row],[Average Cluster Yield]],100,Table1[[#This Row],[Coupon Frequency2]])*Table1[[#This Row],[Face value]]/100</f>
        <v>956.83609341303895</v>
      </c>
      <c r="AC196" s="27" t="str">
        <f>IF(Table1[[#This Row],[Ask Price]]&gt;Table1[[#This Row],[Calculated Bond Price]],"Rich","Cheap")</f>
        <v>Rich</v>
      </c>
      <c r="AD196" s="28">
        <f>PRICE(Table1[[#This Row],[Issue date]],Table1[[#This Row],[Maturity date]],Table1[[#This Row],[Current coupon %]],Table1[[#This Row],[Yield (Annualised)]]+$AE$2,100,Table1[[#This Row],[Coupon Frequency2]])*Table1[[#This Row],[Face value]]/100</f>
        <v>958.19586512554849</v>
      </c>
      <c r="AE196" s="28">
        <f>PRICE(Table1[[#This Row],[Issue date]],Table1[[#This Row],[Maturity date]],Table1[[#This Row],[Current coupon %]],Table1[[#This Row],[Yield (Annualised)]]-$AE$2,100,Table1[[#This Row],[Coupon Frequency2]])*Table1[[#This Row],[Face value]]/100</f>
        <v>1033.7338964623523</v>
      </c>
      <c r="AF196" s="28">
        <f>(Table1[[#This Row],[P (+ shock)]]+Table1[[#This Row],[P (-shock)]]-2*Table1[[#This Row],[Ask Price]])/(2*Table1[[#This Row],[Ask Price]]*($AE$2^2))</f>
        <v>9.6972944115622326</v>
      </c>
    </row>
    <row r="197" spans="1:32" x14ac:dyDescent="0.25">
      <c r="A197" s="21" t="s">
        <v>461</v>
      </c>
      <c r="B197" s="3" t="s">
        <v>462</v>
      </c>
      <c r="C197" s="3" t="s">
        <v>19</v>
      </c>
      <c r="D197" s="4">
        <v>45595</v>
      </c>
      <c r="E197" s="4">
        <v>47421</v>
      </c>
      <c r="F197" s="3">
        <v>1000</v>
      </c>
      <c r="G197" s="3" t="s">
        <v>20</v>
      </c>
      <c r="H197" s="3">
        <v>995</v>
      </c>
      <c r="I197" s="3" t="s">
        <v>20</v>
      </c>
      <c r="J197" s="3">
        <v>99.5</v>
      </c>
      <c r="K197" s="3">
        <v>45</v>
      </c>
      <c r="L197" s="5">
        <v>9.9000000000000005E-2</v>
      </c>
      <c r="M197" s="3" t="s">
        <v>21</v>
      </c>
      <c r="N197" s="3">
        <v>1504</v>
      </c>
      <c r="O197" s="6">
        <f>Table1[[#This Row],[Current coupon %]]*Table1[[#This Row],[Face value]]/Table1[[#This Row],[Ask Price]]</f>
        <v>9.9497487437185936E-2</v>
      </c>
      <c r="P197" s="3"/>
      <c r="Q197" s="3" t="s">
        <v>22</v>
      </c>
      <c r="R197">
        <f t="shared" si="3"/>
        <v>5</v>
      </c>
      <c r="S197" s="22" cm="1">
        <f t="array" ref="S197">_xlfn.IFS(Table1[[#This Row],[Coupon frequency]]="Semi-annual",2,Table1[[#This Row],[Coupon frequency]]="Quarterly",4,Table1[[#This Row],[Coupon frequency]]="Annual",1,Table1[[#This Row],[Coupon frequency]]="Every 4 months",3,Table1[[#This Row],[Coupon frequency]]="Monthly",12)</f>
        <v>1</v>
      </c>
      <c r="T197">
        <f>Table1[[#This Row],[Term to Maturity (Years)]]*Table1[[#This Row],[Coupon Frequency2]]</f>
        <v>5</v>
      </c>
      <c r="U197">
        <f>Table1[[#This Row],[Face value]]*Table1[[#This Row],[Current coupon %]]/Table1[[#This Row],[Coupon Frequency2]]</f>
        <v>99</v>
      </c>
      <c r="V197" s="23">
        <f>RATE(Table1[[#This Row],[Total No. of Coupons]],Table1[[#This Row],[Coupon Amount]],-Table1[[#This Row],[Ask Price]],Table1[[#This Row],[Face value]])</f>
        <v>0.10032006606076428</v>
      </c>
      <c r="W197" s="24">
        <f>Table1[[#This Row],[IRR]]*Table1[[#This Row],[Coupon Frequency2]]</f>
        <v>0.10032006606076428</v>
      </c>
      <c r="X197" s="25" cm="1">
        <f t="array" ref="X19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97" s="26">
        <f>DURATION(Table1[[#This Row],[Issue date]],Table1[[#This Row],[Maturity date]],Table1[[#This Row],[Current coupon %]],Table1[[#This Row],[Yield (Annualised)]],Table1[[#This Row],[Coupon Frequency2]])</f>
        <v>4.1744951839564681</v>
      </c>
      <c r="Z197" s="26">
        <f>Table1[[#This Row],[Macaulay Duration in Years]]/(1+Table1[[#This Row],[IRR]])</f>
        <v>3.793891716345319</v>
      </c>
      <c r="AA197" s="27">
        <f>VLOOKUP(Table1[[#This Row],[Yield Cluster]],'[1]Cluster Details'!$B$3:$C$16,2,0)</f>
        <v>0.11069942689191503</v>
      </c>
      <c r="AB197" s="28">
        <f>PRICE(Table1[[#This Row],[Issue date]],Table1[[#This Row],[Maturity date]],Table1[[#This Row],[Current coupon %]],Table1[[#This Row],[Average Cluster Yield]],100,Table1[[#This Row],[Coupon Frequency2]])*Table1[[#This Row],[Face value]]/100</f>
        <v>956.83609341303895</v>
      </c>
      <c r="AC197" s="27" t="str">
        <f>IF(Table1[[#This Row],[Ask Price]]&gt;Table1[[#This Row],[Calculated Bond Price]],"Rich","Cheap")</f>
        <v>Rich</v>
      </c>
      <c r="AD197" s="28">
        <f>PRICE(Table1[[#This Row],[Issue date]],Table1[[#This Row],[Maturity date]],Table1[[#This Row],[Current coupon %]],Table1[[#This Row],[Yield (Annualised)]]+$AE$2,100,Table1[[#This Row],[Coupon Frequency2]])*Table1[[#This Row],[Face value]]/100</f>
        <v>958.19586512554849</v>
      </c>
      <c r="AE197" s="28">
        <f>PRICE(Table1[[#This Row],[Issue date]],Table1[[#This Row],[Maturity date]],Table1[[#This Row],[Current coupon %]],Table1[[#This Row],[Yield (Annualised)]]-$AE$2,100,Table1[[#This Row],[Coupon Frequency2]])*Table1[[#This Row],[Face value]]/100</f>
        <v>1033.7338964623523</v>
      </c>
      <c r="AF197" s="28">
        <f>(Table1[[#This Row],[P (+ shock)]]+Table1[[#This Row],[P (-shock)]]-2*Table1[[#This Row],[Ask Price]])/(2*Table1[[#This Row],[Ask Price]]*($AE$2^2))</f>
        <v>9.6972944115622326</v>
      </c>
    </row>
    <row r="198" spans="1:32" x14ac:dyDescent="0.25">
      <c r="A198" s="21" t="s">
        <v>463</v>
      </c>
      <c r="B198" s="3" t="s">
        <v>464</v>
      </c>
      <c r="C198" s="3" t="s">
        <v>19</v>
      </c>
      <c r="D198" s="4">
        <v>45184</v>
      </c>
      <c r="E198" s="4">
        <v>46280</v>
      </c>
      <c r="F198" s="3">
        <v>1000</v>
      </c>
      <c r="G198" s="3" t="s">
        <v>20</v>
      </c>
      <c r="H198" s="3">
        <v>980</v>
      </c>
      <c r="I198" s="3" t="s">
        <v>20</v>
      </c>
      <c r="J198" s="3">
        <v>98</v>
      </c>
      <c r="K198" s="3">
        <v>251</v>
      </c>
      <c r="L198" s="5">
        <v>9.6000000000000002E-2</v>
      </c>
      <c r="M198" s="3" t="s">
        <v>21</v>
      </c>
      <c r="N198" s="3">
        <v>363</v>
      </c>
      <c r="O198" s="6">
        <f>Table1[[#This Row],[Current coupon %]]*Table1[[#This Row],[Face value]]/Table1[[#This Row],[Ask Price]]</f>
        <v>9.7959183673469383E-2</v>
      </c>
      <c r="P198" s="3"/>
      <c r="Q198" s="3" t="s">
        <v>22</v>
      </c>
      <c r="R198">
        <f t="shared" si="3"/>
        <v>3</v>
      </c>
      <c r="S198" s="22" cm="1">
        <f t="array" ref="S198">_xlfn.IFS(Table1[[#This Row],[Coupon frequency]]="Semi-annual",2,Table1[[#This Row],[Coupon frequency]]="Quarterly",4,Table1[[#This Row],[Coupon frequency]]="Annual",1,Table1[[#This Row],[Coupon frequency]]="Every 4 months",3,Table1[[#This Row],[Coupon frequency]]="Monthly",12)</f>
        <v>1</v>
      </c>
      <c r="T198">
        <f>Table1[[#This Row],[Term to Maturity (Years)]]*Table1[[#This Row],[Coupon Frequency2]]</f>
        <v>3</v>
      </c>
      <c r="U198">
        <f>Table1[[#This Row],[Face value]]*Table1[[#This Row],[Current coupon %]]/Table1[[#This Row],[Coupon Frequency2]]</f>
        <v>96</v>
      </c>
      <c r="V198" s="23">
        <f>RATE(Table1[[#This Row],[Total No. of Coupons]],Table1[[#This Row],[Coupon Amount]],-Table1[[#This Row],[Ask Price]],Table1[[#This Row],[Face value]])</f>
        <v>0.1041004159580053</v>
      </c>
      <c r="W198" s="24">
        <f>Table1[[#This Row],[IRR]]*Table1[[#This Row],[Coupon Frequency2]]</f>
        <v>0.1041004159580053</v>
      </c>
      <c r="X198" s="25" cm="1">
        <f t="array" ref="X19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98" s="26">
        <f>DURATION(Table1[[#This Row],[Issue date]],Table1[[#This Row],[Maturity date]],Table1[[#This Row],[Current coupon %]],Table1[[#This Row],[Yield (Annualised)]],Table1[[#This Row],[Coupon Frequency2]])</f>
        <v>2.7421960557894902</v>
      </c>
      <c r="Z198" s="26">
        <f>Table1[[#This Row],[Macaulay Duration in Years]]/(1+Table1[[#This Row],[IRR]])</f>
        <v>2.4836473351114021</v>
      </c>
      <c r="AA198" s="27">
        <f>VLOOKUP(Table1[[#This Row],[Yield Cluster]],'[1]Cluster Details'!$B$3:$C$16,2,0)</f>
        <v>0.11069942689191503</v>
      </c>
      <c r="AB198" s="28">
        <f>PRICE(Table1[[#This Row],[Issue date]],Table1[[#This Row],[Maturity date]],Table1[[#This Row],[Current coupon %]],Table1[[#This Row],[Average Cluster Yield]],100,Table1[[#This Row],[Coupon Frequency2]])*Table1[[#This Row],[Face value]]/100</f>
        <v>964.12244619265959</v>
      </c>
      <c r="AC198" s="27" t="str">
        <f>IF(Table1[[#This Row],[Ask Price]]&gt;Table1[[#This Row],[Calculated Bond Price]],"Rich","Cheap")</f>
        <v>Rich</v>
      </c>
      <c r="AD198" s="28">
        <f>PRICE(Table1[[#This Row],[Issue date]],Table1[[#This Row],[Maturity date]],Table1[[#This Row],[Current coupon %]],Table1[[#This Row],[Yield (Annualised)]]+$AE$2,100,Table1[[#This Row],[Coupon Frequency2]])*Table1[[#This Row],[Face value]]/100</f>
        <v>956.08129645392489</v>
      </c>
      <c r="AE198" s="28">
        <f>PRICE(Table1[[#This Row],[Issue date]],Table1[[#This Row],[Maturity date]],Table1[[#This Row],[Current coupon %]],Table1[[#This Row],[Yield (Annualised)]]-$AE$2,100,Table1[[#This Row],[Coupon Frequency2]])*Table1[[#This Row],[Face value]]/100</f>
        <v>1004.7734837588948</v>
      </c>
      <c r="AF198" s="28">
        <f>(Table1[[#This Row],[P (+ shock)]]+Table1[[#This Row],[P (-shock)]]-2*Table1[[#This Row],[Ask Price]])/(2*Table1[[#This Row],[Ask Price]]*($AE$2^2))</f>
        <v>4.3611235347939044</v>
      </c>
    </row>
    <row r="199" spans="1:32" x14ac:dyDescent="0.25">
      <c r="A199" s="21" t="s">
        <v>465</v>
      </c>
      <c r="B199" s="3" t="s">
        <v>466</v>
      </c>
      <c r="C199" s="3" t="s">
        <v>19</v>
      </c>
      <c r="D199" s="4">
        <v>45827</v>
      </c>
      <c r="E199" s="4">
        <v>47288</v>
      </c>
      <c r="F199" s="3">
        <v>100000</v>
      </c>
      <c r="G199" s="3" t="s">
        <v>20</v>
      </c>
      <c r="H199" s="3">
        <v>94995.93</v>
      </c>
      <c r="I199" s="3" t="s">
        <v>20</v>
      </c>
      <c r="J199" s="3">
        <v>94.995930000000001</v>
      </c>
      <c r="K199" s="3">
        <v>20</v>
      </c>
      <c r="L199" s="5">
        <v>9.4499999999999987E-2</v>
      </c>
      <c r="M199" s="3" t="s">
        <v>21</v>
      </c>
      <c r="N199" s="3">
        <v>1371</v>
      </c>
      <c r="O199" s="6">
        <f>Table1[[#This Row],[Current coupon %]]*Table1[[#This Row],[Face value]]/Table1[[#This Row],[Ask Price]]</f>
        <v>9.9477946055162567E-2</v>
      </c>
      <c r="P199" s="3" t="s">
        <v>25</v>
      </c>
      <c r="Q199" s="3" t="s">
        <v>22</v>
      </c>
      <c r="R199">
        <f t="shared" si="3"/>
        <v>4</v>
      </c>
      <c r="S199" s="22" cm="1">
        <f t="array" ref="S199">_xlfn.IFS(Table1[[#This Row],[Coupon frequency]]="Semi-annual",2,Table1[[#This Row],[Coupon frequency]]="Quarterly",4,Table1[[#This Row],[Coupon frequency]]="Annual",1,Table1[[#This Row],[Coupon frequency]]="Every 4 months",3,Table1[[#This Row],[Coupon frequency]]="Monthly",12)</f>
        <v>1</v>
      </c>
      <c r="T199">
        <f>Table1[[#This Row],[Term to Maturity (Years)]]*Table1[[#This Row],[Coupon Frequency2]]</f>
        <v>4</v>
      </c>
      <c r="U199">
        <f>Table1[[#This Row],[Face value]]*Table1[[#This Row],[Current coupon %]]/Table1[[#This Row],[Coupon Frequency2]]</f>
        <v>9449.9999999999982</v>
      </c>
      <c r="V199" s="23">
        <f>RATE(Table1[[#This Row],[Total No. of Coupons]],Table1[[#This Row],[Coupon Amount]],-Table1[[#This Row],[Ask Price]],Table1[[#This Row],[Face value]])</f>
        <v>0.11065189156293892</v>
      </c>
      <c r="W199" s="24">
        <f>Table1[[#This Row],[IRR]]*Table1[[#This Row],[Coupon Frequency2]]</f>
        <v>0.11065189156293892</v>
      </c>
      <c r="X199" s="25" cm="1">
        <f t="array" ref="X19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199" s="26">
        <f>DURATION(Table1[[#This Row],[Issue date]],Table1[[#This Row],[Maturity date]],Table1[[#This Row],[Current coupon %]],Table1[[#This Row],[Yield (Annualised)]],Table1[[#This Row],[Coupon Frequency2]])</f>
        <v>3.4974015140224299</v>
      </c>
      <c r="Z199" s="26">
        <f>Table1[[#This Row],[Macaulay Duration in Years]]/(1+Table1[[#This Row],[IRR]])</f>
        <v>3.1489628213758261</v>
      </c>
      <c r="AA199" s="27">
        <f>VLOOKUP(Table1[[#This Row],[Yield Cluster]],'[1]Cluster Details'!$B$3:$C$16,2,0)</f>
        <v>0.11069942689191503</v>
      </c>
      <c r="AB199" s="28">
        <f>PRICE(Table1[[#This Row],[Issue date]],Table1[[#This Row],[Maturity date]],Table1[[#This Row],[Current coupon %]],Table1[[#This Row],[Average Cluster Yield]],100,Table1[[#This Row],[Coupon Frequency2]])*Table1[[#This Row],[Face value]]/100</f>
        <v>94981.711796744334</v>
      </c>
      <c r="AC199" s="27" t="str">
        <f>IF(Table1[[#This Row],[Ask Price]]&gt;Table1[[#This Row],[Calculated Bond Price]],"Rich","Cheap")</f>
        <v>Rich</v>
      </c>
      <c r="AD199" s="28">
        <f>PRICE(Table1[[#This Row],[Issue date]],Table1[[#This Row],[Maturity date]],Table1[[#This Row],[Current coupon %]],Table1[[#This Row],[Yield (Annualised)]]+$AE$2,100,Table1[[#This Row],[Coupon Frequency2]])*Table1[[#This Row],[Face value]]/100</f>
        <v>92067.65037231888</v>
      </c>
      <c r="AE199" s="28">
        <f>PRICE(Table1[[#This Row],[Issue date]],Table1[[#This Row],[Maturity date]],Table1[[#This Row],[Current coupon %]],Table1[[#This Row],[Yield (Annualised)]]-$AE$2,100,Table1[[#This Row],[Coupon Frequency2]])*Table1[[#This Row],[Face value]]/100</f>
        <v>98052.681805649365</v>
      </c>
      <c r="AF199" s="28">
        <f>(Table1[[#This Row],[P (+ shock)]]+Table1[[#This Row],[P (-shock)]]-2*Table1[[#This Row],[Ask Price]])/(2*Table1[[#This Row],[Ask Price]]*($AE$2^2))</f>
        <v>6.761983274875254</v>
      </c>
    </row>
    <row r="200" spans="1:32" x14ac:dyDescent="0.25">
      <c r="A200" s="21" t="s">
        <v>467</v>
      </c>
      <c r="B200" s="3" t="s">
        <v>468</v>
      </c>
      <c r="C200" s="3" t="s">
        <v>19</v>
      </c>
      <c r="D200" s="4">
        <v>45811</v>
      </c>
      <c r="E200" s="4">
        <v>46541</v>
      </c>
      <c r="F200" s="3">
        <v>100000</v>
      </c>
      <c r="G200" s="3" t="s">
        <v>20</v>
      </c>
      <c r="H200" s="3">
        <v>100560.45</v>
      </c>
      <c r="I200" s="3" t="s">
        <v>20</v>
      </c>
      <c r="J200" s="3">
        <v>100.56045</v>
      </c>
      <c r="K200" s="3">
        <v>1</v>
      </c>
      <c r="L200" s="5">
        <v>0.1</v>
      </c>
      <c r="M200" s="3" t="s">
        <v>21</v>
      </c>
      <c r="N200" s="3">
        <v>624</v>
      </c>
      <c r="O200" s="6">
        <f>Table1[[#This Row],[Current coupon %]]*Table1[[#This Row],[Face value]]/Table1[[#This Row],[Ask Price]]</f>
        <v>9.9442673536166551E-2</v>
      </c>
      <c r="P200" s="3"/>
      <c r="Q200" s="3" t="s">
        <v>22</v>
      </c>
      <c r="R200">
        <f t="shared" si="3"/>
        <v>2</v>
      </c>
      <c r="S200" s="22" cm="1">
        <f t="array" ref="S200">_xlfn.IFS(Table1[[#This Row],[Coupon frequency]]="Semi-annual",2,Table1[[#This Row],[Coupon frequency]]="Quarterly",4,Table1[[#This Row],[Coupon frequency]]="Annual",1,Table1[[#This Row],[Coupon frequency]]="Every 4 months",3,Table1[[#This Row],[Coupon frequency]]="Monthly",12)</f>
        <v>1</v>
      </c>
      <c r="T200">
        <f>Table1[[#This Row],[Term to Maturity (Years)]]*Table1[[#This Row],[Coupon Frequency2]]</f>
        <v>2</v>
      </c>
      <c r="U200">
        <f>Table1[[#This Row],[Face value]]*Table1[[#This Row],[Current coupon %]]/Table1[[#This Row],[Coupon Frequency2]]</f>
        <v>10000</v>
      </c>
      <c r="V200" s="23">
        <f>RATE(Table1[[#This Row],[Total No. of Coupons]],Table1[[#This Row],[Coupon Amount]],-Table1[[#This Row],[Ask Price]],Table1[[#This Row],[Face value]])</f>
        <v>9.6784668294844806E-2</v>
      </c>
      <c r="W200" s="24">
        <f>Table1[[#This Row],[IRR]]*Table1[[#This Row],[Coupon Frequency2]]</f>
        <v>9.6784668294844806E-2</v>
      </c>
      <c r="X200" s="25" cm="1">
        <f t="array" ref="X20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0" s="26">
        <f>DURATION(Table1[[#This Row],[Issue date]],Table1[[#This Row],[Maturity date]],Table1[[#This Row],[Current coupon %]],Table1[[#This Row],[Yield (Annualised)]],Table1[[#This Row],[Coupon Frequency2]])</f>
        <v>1.9093325459310297</v>
      </c>
      <c r="Z200" s="26">
        <f>Table1[[#This Row],[Macaulay Duration in Years]]/(1+Table1[[#This Row],[IRR]])</f>
        <v>1.7408454012212273</v>
      </c>
      <c r="AA200" s="27">
        <f>VLOOKUP(Table1[[#This Row],[Yield Cluster]],'[1]Cluster Details'!$B$3:$C$16,2,0)</f>
        <v>7.8548801574189142E-2</v>
      </c>
      <c r="AB200" s="28">
        <f>PRICE(Table1[[#This Row],[Issue date]],Table1[[#This Row],[Maturity date]],Table1[[#This Row],[Current coupon %]],Table1[[#This Row],[Average Cluster Yield]],100,Table1[[#This Row],[Coupon Frequency2]])*Table1[[#This Row],[Face value]]/100</f>
        <v>103832.94144418584</v>
      </c>
      <c r="AC200" s="27" t="str">
        <f>IF(Table1[[#This Row],[Ask Price]]&gt;Table1[[#This Row],[Calculated Bond Price]],"Rich","Cheap")</f>
        <v>Cheap</v>
      </c>
      <c r="AD200" s="28">
        <f>PRICE(Table1[[#This Row],[Issue date]],Table1[[#This Row],[Maturity date]],Table1[[#This Row],[Current coupon %]],Table1[[#This Row],[Yield (Annualised)]]+$AE$2,100,Table1[[#This Row],[Coupon Frequency2]])*Table1[[#This Row],[Face value]]/100</f>
        <v>98833.129931180621</v>
      </c>
      <c r="AE200" s="28">
        <f>PRICE(Table1[[#This Row],[Issue date]],Table1[[#This Row],[Maturity date]],Table1[[#This Row],[Current coupon %]],Table1[[#This Row],[Yield (Annualised)]]-$AE$2,100,Table1[[#This Row],[Coupon Frequency2]])*Table1[[#This Row],[Face value]]/100</f>
        <v>102334.90222832719</v>
      </c>
      <c r="AF200" s="28">
        <f>(Table1[[#This Row],[P (+ shock)]]+Table1[[#This Row],[P (-shock)]]-2*Table1[[#This Row],[Ask Price]])/(2*Table1[[#This Row],[Ask Price]]*($AE$2^2))</f>
        <v>2.3434739754945566</v>
      </c>
    </row>
    <row r="201" spans="1:32" x14ac:dyDescent="0.25">
      <c r="A201" s="21" t="s">
        <v>469</v>
      </c>
      <c r="B201" s="3" t="s">
        <v>470</v>
      </c>
      <c r="C201" s="3" t="s">
        <v>19</v>
      </c>
      <c r="D201" s="4">
        <v>43318</v>
      </c>
      <c r="E201" s="4">
        <v>46971</v>
      </c>
      <c r="F201" s="3">
        <v>1000</v>
      </c>
      <c r="G201" s="3" t="s">
        <v>20</v>
      </c>
      <c r="H201" s="3">
        <v>991</v>
      </c>
      <c r="I201" s="3" t="s">
        <v>20</v>
      </c>
      <c r="J201" s="3">
        <v>99.1</v>
      </c>
      <c r="K201" s="3">
        <v>100</v>
      </c>
      <c r="L201" s="5">
        <v>9.849999999999999E-2</v>
      </c>
      <c r="M201" s="3" t="s">
        <v>21</v>
      </c>
      <c r="N201" s="3">
        <v>1054</v>
      </c>
      <c r="O201" s="6">
        <f>Table1[[#This Row],[Current coupon %]]*Table1[[#This Row],[Face value]]/Table1[[#This Row],[Ask Price]]</f>
        <v>9.9394550958627634E-2</v>
      </c>
      <c r="P201" s="3"/>
      <c r="Q201" s="3" t="s">
        <v>22</v>
      </c>
      <c r="R201">
        <f t="shared" si="3"/>
        <v>10</v>
      </c>
      <c r="S201" s="22" cm="1">
        <f t="array" ref="S201">_xlfn.IFS(Table1[[#This Row],[Coupon frequency]]="Semi-annual",2,Table1[[#This Row],[Coupon frequency]]="Quarterly",4,Table1[[#This Row],[Coupon frequency]]="Annual",1,Table1[[#This Row],[Coupon frequency]]="Every 4 months",3,Table1[[#This Row],[Coupon frequency]]="Monthly",12)</f>
        <v>1</v>
      </c>
      <c r="T201">
        <f>Table1[[#This Row],[Term to Maturity (Years)]]*Table1[[#This Row],[Coupon Frequency2]]</f>
        <v>10</v>
      </c>
      <c r="U201">
        <f>Table1[[#This Row],[Face value]]*Table1[[#This Row],[Current coupon %]]/Table1[[#This Row],[Coupon Frequency2]]</f>
        <v>98.499999999999986</v>
      </c>
      <c r="V201" s="23">
        <f>RATE(Table1[[#This Row],[Total No. of Coupons]],Table1[[#This Row],[Coupon Amount]],-Table1[[#This Row],[Ask Price]],Table1[[#This Row],[Face value]])</f>
        <v>9.9964485094396149E-2</v>
      </c>
      <c r="W201" s="24">
        <f>Table1[[#This Row],[IRR]]*Table1[[#This Row],[Coupon Frequency2]]</f>
        <v>9.9964485094396149E-2</v>
      </c>
      <c r="X201" s="25" cm="1">
        <f t="array" ref="X20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1" s="26">
        <f>DURATION(Table1[[#This Row],[Issue date]],Table1[[#This Row],[Maturity date]],Table1[[#This Row],[Current coupon %]],Table1[[#This Row],[Yield (Annualised)]],Table1[[#This Row],[Coupon Frequency2]])</f>
        <v>6.7783102463457787</v>
      </c>
      <c r="Z201" s="26">
        <f>Table1[[#This Row],[Macaulay Duration in Years]]/(1+Table1[[#This Row],[IRR]])</f>
        <v>6.1622991816541068</v>
      </c>
      <c r="AA201" s="27">
        <f>VLOOKUP(Table1[[#This Row],[Yield Cluster]],'[1]Cluster Details'!$B$3:$C$16,2,0)</f>
        <v>7.8548801574189142E-2</v>
      </c>
      <c r="AB201" s="28">
        <f>PRICE(Table1[[#This Row],[Issue date]],Table1[[#This Row],[Maturity date]],Table1[[#This Row],[Current coupon %]],Table1[[#This Row],[Average Cluster Yield]],100,Table1[[#This Row],[Coupon Frequency2]])*Table1[[#This Row],[Face value]]/100</f>
        <v>1134.7548948227723</v>
      </c>
      <c r="AC201" s="27" t="str">
        <f>IF(Table1[[#This Row],[Ask Price]]&gt;Table1[[#This Row],[Calculated Bond Price]],"Rich","Cheap")</f>
        <v>Cheap</v>
      </c>
      <c r="AD201" s="28">
        <f>PRICE(Table1[[#This Row],[Issue date]],Table1[[#This Row],[Maturity date]],Table1[[#This Row],[Current coupon %]],Table1[[#This Row],[Yield (Annualised)]]+$AE$2,100,Table1[[#This Row],[Coupon Frequency2]])*Table1[[#This Row],[Face value]]/100</f>
        <v>932.47293158155719</v>
      </c>
      <c r="AE201" s="28">
        <f>PRICE(Table1[[#This Row],[Issue date]],Table1[[#This Row],[Maturity date]],Table1[[#This Row],[Current coupon %]],Table1[[#This Row],[Yield (Annualised)]]-$AE$2,100,Table1[[#This Row],[Coupon Frequency2]])*Table1[[#This Row],[Face value]]/100</f>
        <v>1054.7865770807391</v>
      </c>
      <c r="AF201" s="28">
        <f>(Table1[[#This Row],[P (+ shock)]]+Table1[[#This Row],[P (-shock)]]-2*Table1[[#This Row],[Ask Price]])/(2*Table1[[#This Row],[Ask Price]]*($AE$2^2))</f>
        <v>26.536370647307827</v>
      </c>
    </row>
    <row r="202" spans="1:32" x14ac:dyDescent="0.25">
      <c r="A202" s="21" t="s">
        <v>471</v>
      </c>
      <c r="B202" s="3" t="s">
        <v>472</v>
      </c>
      <c r="C202" s="3" t="s">
        <v>19</v>
      </c>
      <c r="D202" s="4">
        <v>44757</v>
      </c>
      <c r="E202" s="4">
        <v>48410</v>
      </c>
      <c r="F202" s="3">
        <v>1000</v>
      </c>
      <c r="G202" s="3" t="s">
        <v>20</v>
      </c>
      <c r="H202" s="3">
        <v>1001.5</v>
      </c>
      <c r="I202" s="3" t="s">
        <v>20</v>
      </c>
      <c r="J202" s="3">
        <v>100.15</v>
      </c>
      <c r="K202" s="3">
        <v>650</v>
      </c>
      <c r="L202" s="5">
        <v>9.9499999999999991E-2</v>
      </c>
      <c r="M202" s="3" t="s">
        <v>21</v>
      </c>
      <c r="N202" s="3">
        <v>2493</v>
      </c>
      <c r="O202" s="6">
        <f>Table1[[#This Row],[Current coupon %]]*Table1[[#This Row],[Face value]]/Table1[[#This Row],[Ask Price]]</f>
        <v>9.9350973539690454E-2</v>
      </c>
      <c r="P202" s="3"/>
      <c r="Q202" s="3" t="s">
        <v>22</v>
      </c>
      <c r="R202">
        <f t="shared" si="3"/>
        <v>10</v>
      </c>
      <c r="S202" s="22" cm="1">
        <f t="array" ref="S202">_xlfn.IFS(Table1[[#This Row],[Coupon frequency]]="Semi-annual",2,Table1[[#This Row],[Coupon frequency]]="Quarterly",4,Table1[[#This Row],[Coupon frequency]]="Annual",1,Table1[[#This Row],[Coupon frequency]]="Every 4 months",3,Table1[[#This Row],[Coupon frequency]]="Monthly",12)</f>
        <v>1</v>
      </c>
      <c r="T202">
        <f>Table1[[#This Row],[Term to Maturity (Years)]]*Table1[[#This Row],[Coupon Frequency2]]</f>
        <v>10</v>
      </c>
      <c r="U202">
        <f>Table1[[#This Row],[Face value]]*Table1[[#This Row],[Current coupon %]]/Table1[[#This Row],[Coupon Frequency2]]</f>
        <v>99.499999999999986</v>
      </c>
      <c r="V202" s="23">
        <f>RATE(Table1[[#This Row],[Total No. of Coupons]],Table1[[#This Row],[Coupon Amount]],-Table1[[#This Row],[Ask Price]],Table1[[#This Row],[Face value]])</f>
        <v>9.9256660907003288E-2</v>
      </c>
      <c r="W202" s="24">
        <f>Table1[[#This Row],[IRR]]*Table1[[#This Row],[Coupon Frequency2]]</f>
        <v>9.9256660907003288E-2</v>
      </c>
      <c r="X202" s="25" cm="1">
        <f t="array" ref="X20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2" s="26">
        <f>DURATION(Table1[[#This Row],[Issue date]],Table1[[#This Row],[Maturity date]],Table1[[#This Row],[Current coupon %]],Table1[[#This Row],[Yield (Annualised)]],Table1[[#This Row],[Coupon Frequency2]])</f>
        <v>6.7730159237233929</v>
      </c>
      <c r="Z202" s="26">
        <f>Table1[[#This Row],[Macaulay Duration in Years]]/(1+Table1[[#This Row],[IRR]])</f>
        <v>6.1614508827582961</v>
      </c>
      <c r="AA202" s="27">
        <f>VLOOKUP(Table1[[#This Row],[Yield Cluster]],'[1]Cluster Details'!$B$3:$C$16,2,0)</f>
        <v>7.8548801574189142E-2</v>
      </c>
      <c r="AB202" s="28">
        <f>PRICE(Table1[[#This Row],[Issue date]],Table1[[#This Row],[Maturity date]],Table1[[#This Row],[Current coupon %]],Table1[[#This Row],[Average Cluster Yield]],100,Table1[[#This Row],[Coupon Frequency2]])*Table1[[#This Row],[Face value]]/100</f>
        <v>1141.5091204059554</v>
      </c>
      <c r="AC202" s="27" t="str">
        <f>IF(Table1[[#This Row],[Ask Price]]&gt;Table1[[#This Row],[Calculated Bond Price]],"Rich","Cheap")</f>
        <v>Cheap</v>
      </c>
      <c r="AD202" s="28">
        <f>PRICE(Table1[[#This Row],[Issue date]],Table1[[#This Row],[Maturity date]],Table1[[#This Row],[Current coupon %]],Table1[[#This Row],[Yield (Annualised)]]+$AE$2,100,Table1[[#This Row],[Coupon Frequency2]])*Table1[[#This Row],[Face value]]/100</f>
        <v>942.36122227556962</v>
      </c>
      <c r="AE202" s="28">
        <f>PRICE(Table1[[#This Row],[Issue date]],Table1[[#This Row],[Maturity date]],Table1[[#This Row],[Current coupon %]],Table1[[#This Row],[Yield (Annualised)]]-$AE$2,100,Table1[[#This Row],[Coupon Frequency2]])*Table1[[#This Row],[Face value]]/100</f>
        <v>1065.9538807155957</v>
      </c>
      <c r="AF202" s="28">
        <f>(Table1[[#This Row],[P (+ shock)]]+Table1[[#This Row],[P (-shock)]]-2*Table1[[#This Row],[Ask Price]])/(2*Table1[[#This Row],[Ask Price]]*($AE$2^2))</f>
        <v>26.535711388743405</v>
      </c>
    </row>
    <row r="203" spans="1:32" x14ac:dyDescent="0.25">
      <c r="A203" s="21" t="s">
        <v>473</v>
      </c>
      <c r="B203" s="3" t="s">
        <v>474</v>
      </c>
      <c r="C203" s="3" t="s">
        <v>19</v>
      </c>
      <c r="D203" s="4">
        <v>45877</v>
      </c>
      <c r="E203" s="4">
        <v>46973</v>
      </c>
      <c r="F203" s="3">
        <v>100000</v>
      </c>
      <c r="G203" s="3" t="s">
        <v>20</v>
      </c>
      <c r="H203" s="3">
        <v>98150</v>
      </c>
      <c r="I203" s="3" t="s">
        <v>20</v>
      </c>
      <c r="J203" s="3">
        <v>98.15</v>
      </c>
      <c r="K203" s="3">
        <v>2</v>
      </c>
      <c r="L203" s="5">
        <v>9.7500000000000003E-2</v>
      </c>
      <c r="M203" s="3" t="s">
        <v>44</v>
      </c>
      <c r="N203" s="3">
        <v>1056</v>
      </c>
      <c r="O203" s="6">
        <f>Table1[[#This Row],[Current coupon %]]*Table1[[#This Row],[Face value]]/Table1[[#This Row],[Ask Price]]</f>
        <v>9.9337748344370855E-2</v>
      </c>
      <c r="P203" s="3"/>
      <c r="Q203" s="3" t="s">
        <v>22</v>
      </c>
      <c r="R203">
        <f t="shared" si="3"/>
        <v>3</v>
      </c>
      <c r="S203" s="22" cm="1">
        <f t="array" ref="S203">_xlfn.IFS(Table1[[#This Row],[Coupon frequency]]="Semi-annual",2,Table1[[#This Row],[Coupon frequency]]="Quarterly",4,Table1[[#This Row],[Coupon frequency]]="Annual",1,Table1[[#This Row],[Coupon frequency]]="Every 4 months",3,Table1[[#This Row],[Coupon frequency]]="Monthly",12)</f>
        <v>4</v>
      </c>
      <c r="T203">
        <f>Table1[[#This Row],[Term to Maturity (Years)]]*Table1[[#This Row],[Coupon Frequency2]]</f>
        <v>12</v>
      </c>
      <c r="U203">
        <f>Table1[[#This Row],[Face value]]*Table1[[#This Row],[Current coupon %]]/Table1[[#This Row],[Coupon Frequency2]]</f>
        <v>2437.5</v>
      </c>
      <c r="V203" s="23">
        <f>RATE(Table1[[#This Row],[Total No. of Coupons]],Table1[[#This Row],[Coupon Amount]],-Table1[[#This Row],[Ask Price]],Table1[[#This Row],[Face value]])</f>
        <v>2.6191548356048804E-2</v>
      </c>
      <c r="W203" s="24">
        <f>Table1[[#This Row],[IRR]]*Table1[[#This Row],[Coupon Frequency2]]</f>
        <v>0.10476619342419521</v>
      </c>
      <c r="X203" s="25" cm="1">
        <f t="array" ref="X20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03" s="26">
        <f>DURATION(Table1[[#This Row],[Issue date]],Table1[[#This Row],[Maturity date]],Table1[[#This Row],[Current coupon %]],Table1[[#This Row],[Yield (Annualised)]],Table1[[#This Row],[Coupon Frequency2]])</f>
        <v>2.6327887831364882</v>
      </c>
      <c r="Z203" s="26">
        <f>Table1[[#This Row],[Macaulay Duration in Years]]/(1+Table1[[#This Row],[IRR]])</f>
        <v>2.565591957324338</v>
      </c>
      <c r="AA203" s="27">
        <f>VLOOKUP(Table1[[#This Row],[Yield Cluster]],'[1]Cluster Details'!$B$3:$C$16,2,0)</f>
        <v>0.11069942689191503</v>
      </c>
      <c r="AB203" s="28">
        <f>PRICE(Table1[[#This Row],[Issue date]],Table1[[#This Row],[Maturity date]],Table1[[#This Row],[Current coupon %]],Table1[[#This Row],[Average Cluster Yield]],100,Table1[[#This Row],[Coupon Frequency2]])*Table1[[#This Row],[Face value]]/100</f>
        <v>96669.259913549642</v>
      </c>
      <c r="AC203" s="27" t="str">
        <f>IF(Table1[[#This Row],[Ask Price]]&gt;Table1[[#This Row],[Calculated Bond Price]],"Rich","Cheap")</f>
        <v>Rich</v>
      </c>
      <c r="AD203" s="28">
        <f>PRICE(Table1[[#This Row],[Issue date]],Table1[[#This Row],[Maturity date]],Table1[[#This Row],[Current coupon %]],Table1[[#This Row],[Yield (Annualised)]]+$AE$2,100,Table1[[#This Row],[Coupon Frequency2]])*Table1[[#This Row],[Face value]]/100</f>
        <v>95669.551541018445</v>
      </c>
      <c r="AE203" s="28">
        <f>PRICE(Table1[[#This Row],[Issue date]],Table1[[#This Row],[Maturity date]],Table1[[#This Row],[Current coupon %]],Table1[[#This Row],[Yield (Annualised)]]-$AE$2,100,Table1[[#This Row],[Coupon Frequency2]])*Table1[[#This Row],[Face value]]/100</f>
        <v>100706.65524738113</v>
      </c>
      <c r="AF203" s="28">
        <f>(Table1[[#This Row],[P (+ shock)]]+Table1[[#This Row],[P (-shock)]]-2*Table1[[#This Row],[Ask Price]])/(2*Table1[[#This Row],[Ask Price]]*($AE$2^2))</f>
        <v>3.8821593682922515</v>
      </c>
    </row>
    <row r="204" spans="1:32" x14ac:dyDescent="0.25">
      <c r="A204" s="21" t="s">
        <v>475</v>
      </c>
      <c r="B204" s="3" t="s">
        <v>476</v>
      </c>
      <c r="C204" s="3" t="s">
        <v>19</v>
      </c>
      <c r="D204" s="4">
        <v>45196</v>
      </c>
      <c r="E204" s="4">
        <v>46291</v>
      </c>
      <c r="F204" s="3">
        <v>100000</v>
      </c>
      <c r="G204" s="3" t="s">
        <v>20</v>
      </c>
      <c r="H204" s="3">
        <v>100250</v>
      </c>
      <c r="I204" s="3" t="s">
        <v>20</v>
      </c>
      <c r="J204" s="3">
        <v>100.25</v>
      </c>
      <c r="K204" s="3">
        <v>1</v>
      </c>
      <c r="L204" s="5">
        <v>9.9499999999999991E-2</v>
      </c>
      <c r="M204" s="3" t="s">
        <v>44</v>
      </c>
      <c r="N204" s="3">
        <v>374</v>
      </c>
      <c r="O204" s="6">
        <f>Table1[[#This Row],[Current coupon %]]*Table1[[#This Row],[Face value]]/Table1[[#This Row],[Ask Price]]</f>
        <v>9.9251870324189528E-2</v>
      </c>
      <c r="P204" s="3"/>
      <c r="Q204" s="3" t="s">
        <v>22</v>
      </c>
      <c r="R204">
        <f t="shared" si="3"/>
        <v>3</v>
      </c>
      <c r="S204" s="22" cm="1">
        <f t="array" ref="S204">_xlfn.IFS(Table1[[#This Row],[Coupon frequency]]="Semi-annual",2,Table1[[#This Row],[Coupon frequency]]="Quarterly",4,Table1[[#This Row],[Coupon frequency]]="Annual",1,Table1[[#This Row],[Coupon frequency]]="Every 4 months",3,Table1[[#This Row],[Coupon frequency]]="Monthly",12)</f>
        <v>4</v>
      </c>
      <c r="T204">
        <f>Table1[[#This Row],[Term to Maturity (Years)]]*Table1[[#This Row],[Coupon Frequency2]]</f>
        <v>12</v>
      </c>
      <c r="U204">
        <f>Table1[[#This Row],[Face value]]*Table1[[#This Row],[Current coupon %]]/Table1[[#This Row],[Coupon Frequency2]]</f>
        <v>2487.5</v>
      </c>
      <c r="V204" s="23">
        <f>RATE(Table1[[#This Row],[Total No. of Coupons]],Table1[[#This Row],[Coupon Amount]],-Table1[[#This Row],[Ask Price]],Table1[[#This Row],[Face value]])</f>
        <v>2.4631825163623455E-2</v>
      </c>
      <c r="W204" s="24">
        <f>Table1[[#This Row],[IRR]]*Table1[[#This Row],[Coupon Frequency2]]</f>
        <v>9.8527300654493818E-2</v>
      </c>
      <c r="X204" s="25" cm="1">
        <f t="array" ref="X20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4" s="26">
        <f>DURATION(Table1[[#This Row],[Issue date]],Table1[[#This Row],[Maturity date]],Table1[[#This Row],[Current coupon %]],Table1[[#This Row],[Yield (Annualised)]],Table1[[#This Row],[Coupon Frequency2]])</f>
        <v>2.6280019572293503</v>
      </c>
      <c r="Z204" s="26">
        <f>Table1[[#This Row],[Macaulay Duration in Years]]/(1+Table1[[#This Row],[IRR]])</f>
        <v>2.5648256209587132</v>
      </c>
      <c r="AA204" s="27">
        <f>VLOOKUP(Table1[[#This Row],[Yield Cluster]],'[1]Cluster Details'!$B$3:$C$16,2,0)</f>
        <v>7.8548801574189142E-2</v>
      </c>
      <c r="AB204" s="28">
        <f>PRICE(Table1[[#This Row],[Issue date]],Table1[[#This Row],[Maturity date]],Table1[[#This Row],[Current coupon %]],Table1[[#This Row],[Average Cluster Yield]],100,Table1[[#This Row],[Coupon Frequency2]])*Table1[[#This Row],[Face value]]/100</f>
        <v>105546.68450983246</v>
      </c>
      <c r="AC204" s="27" t="str">
        <f>IF(Table1[[#This Row],[Ask Price]]&gt;Table1[[#This Row],[Calculated Bond Price]],"Rich","Cheap")</f>
        <v>Cheap</v>
      </c>
      <c r="AD204" s="28">
        <f>PRICE(Table1[[#This Row],[Issue date]],Table1[[#This Row],[Maturity date]],Table1[[#This Row],[Current coupon %]],Table1[[#This Row],[Yield (Annualised)]]+$AE$2,100,Table1[[#This Row],[Coupon Frequency2]])*Table1[[#This Row],[Face value]]/100</f>
        <v>97716.032632371207</v>
      </c>
      <c r="AE204" s="28">
        <f>PRICE(Table1[[#This Row],[Issue date]],Table1[[#This Row],[Maturity date]],Table1[[#This Row],[Current coupon %]],Table1[[#This Row],[Yield (Annualised)]]-$AE$2,100,Table1[[#This Row],[Coupon Frequency2]])*Table1[[#This Row],[Face value]]/100</f>
        <v>102860.76403450246</v>
      </c>
      <c r="AF204" s="28">
        <f>(Table1[[#This Row],[P (+ shock)]]+Table1[[#This Row],[P (-shock)]]-2*Table1[[#This Row],[Ask Price]])/(2*Table1[[#This Row],[Ask Price]]*($AE$2^2))</f>
        <v>3.8302576994352702</v>
      </c>
    </row>
    <row r="205" spans="1:32" x14ac:dyDescent="0.25">
      <c r="A205" s="21" t="s">
        <v>477</v>
      </c>
      <c r="B205" s="3" t="s">
        <v>478</v>
      </c>
      <c r="C205" s="3" t="s">
        <v>19</v>
      </c>
      <c r="D205" s="4">
        <v>45687</v>
      </c>
      <c r="E205" s="4">
        <v>47148</v>
      </c>
      <c r="F205" s="3">
        <v>100000</v>
      </c>
      <c r="G205" s="3" t="s">
        <v>20</v>
      </c>
      <c r="H205" s="3">
        <v>100762.79</v>
      </c>
      <c r="I205" s="3" t="s">
        <v>20</v>
      </c>
      <c r="J205" s="3">
        <v>100.76279</v>
      </c>
      <c r="K205" s="3">
        <v>1</v>
      </c>
      <c r="L205" s="5">
        <v>0.1</v>
      </c>
      <c r="M205" s="3" t="s">
        <v>44</v>
      </c>
      <c r="N205" s="3">
        <v>1231</v>
      </c>
      <c r="O205" s="6">
        <f>Table1[[#This Row],[Current coupon %]]*Table1[[#This Row],[Face value]]/Table1[[#This Row],[Ask Price]]</f>
        <v>9.9242984438997775E-2</v>
      </c>
      <c r="P205" s="3"/>
      <c r="Q205" s="3" t="s">
        <v>22</v>
      </c>
      <c r="R205">
        <f t="shared" si="3"/>
        <v>4</v>
      </c>
      <c r="S205" s="22" cm="1">
        <f t="array" ref="S205">_xlfn.IFS(Table1[[#This Row],[Coupon frequency]]="Semi-annual",2,Table1[[#This Row],[Coupon frequency]]="Quarterly",4,Table1[[#This Row],[Coupon frequency]]="Annual",1,Table1[[#This Row],[Coupon frequency]]="Every 4 months",3,Table1[[#This Row],[Coupon frequency]]="Monthly",12)</f>
        <v>4</v>
      </c>
      <c r="T205">
        <f>Table1[[#This Row],[Term to Maturity (Years)]]*Table1[[#This Row],[Coupon Frequency2]]</f>
        <v>16</v>
      </c>
      <c r="U205">
        <f>Table1[[#This Row],[Face value]]*Table1[[#This Row],[Current coupon %]]/Table1[[#This Row],[Coupon Frequency2]]</f>
        <v>2500</v>
      </c>
      <c r="V205" s="23">
        <f>RATE(Table1[[#This Row],[Total No. of Coupons]],Table1[[#This Row],[Coupon Amount]],-Table1[[#This Row],[Ask Price]],Table1[[#This Row],[Face value]])</f>
        <v>2.4418352072041447E-2</v>
      </c>
      <c r="W205" s="24">
        <f>Table1[[#This Row],[IRR]]*Table1[[#This Row],[Coupon Frequency2]]</f>
        <v>9.7673408288165786E-2</v>
      </c>
      <c r="X205" s="25" cm="1">
        <f t="array" ref="X20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5" s="26">
        <f>DURATION(Table1[[#This Row],[Issue date]],Table1[[#This Row],[Maturity date]],Table1[[#This Row],[Current coupon %]],Table1[[#This Row],[Yield (Annualised)]],Table1[[#This Row],[Coupon Frequency2]])</f>
        <v>3.3483234289832322</v>
      </c>
      <c r="Z205" s="26">
        <f>Table1[[#This Row],[Macaulay Duration in Years]]/(1+Table1[[#This Row],[IRR]])</f>
        <v>3.2685117581218073</v>
      </c>
      <c r="AA205" s="27">
        <f>VLOOKUP(Table1[[#This Row],[Yield Cluster]],'[1]Cluster Details'!$B$3:$C$16,2,0)</f>
        <v>7.8548801574189142E-2</v>
      </c>
      <c r="AB205" s="28">
        <f>PRICE(Table1[[#This Row],[Issue date]],Table1[[#This Row],[Maturity date]],Table1[[#This Row],[Current coupon %]],Table1[[#This Row],[Average Cluster Yield]],100,Table1[[#This Row],[Coupon Frequency2]])*Table1[[#This Row],[Face value]]/100</f>
        <v>107302.42323324065</v>
      </c>
      <c r="AC205" s="27" t="str">
        <f>IF(Table1[[#This Row],[Ask Price]]&gt;Table1[[#This Row],[Calculated Bond Price]],"Rich","Cheap")</f>
        <v>Cheap</v>
      </c>
      <c r="AD205" s="28">
        <f>PRICE(Table1[[#This Row],[Issue date]],Table1[[#This Row],[Maturity date]],Table1[[#This Row],[Current coupon %]],Table1[[#This Row],[Yield (Annualised)]]+$AE$2,100,Table1[[#This Row],[Coupon Frequency2]])*Table1[[#This Row],[Face value]]/100</f>
        <v>97532.575651981737</v>
      </c>
      <c r="AE205" s="28">
        <f>PRICE(Table1[[#This Row],[Issue date]],Table1[[#This Row],[Maturity date]],Table1[[#This Row],[Current coupon %]],Table1[[#This Row],[Yield (Annualised)]]-$AE$2,100,Table1[[#This Row],[Coupon Frequency2]])*Table1[[#This Row],[Face value]]/100</f>
        <v>104121.28185534349</v>
      </c>
      <c r="AF205" s="28">
        <f>(Table1[[#This Row],[P (+ shock)]]+Table1[[#This Row],[P (-shock)]]-2*Table1[[#This Row],[Ask Price]])/(2*Table1[[#This Row],[Ask Price]]*($AE$2^2))</f>
        <v>6.3653213316769026</v>
      </c>
    </row>
    <row r="206" spans="1:32" x14ac:dyDescent="0.25">
      <c r="A206" s="21" t="s">
        <v>479</v>
      </c>
      <c r="B206" s="3" t="s">
        <v>421</v>
      </c>
      <c r="C206" s="3" t="s">
        <v>19</v>
      </c>
      <c r="D206" s="4">
        <v>45589</v>
      </c>
      <c r="E206" s="4">
        <v>47415</v>
      </c>
      <c r="F206" s="3">
        <v>1000</v>
      </c>
      <c r="G206" s="3" t="s">
        <v>20</v>
      </c>
      <c r="H206" s="3">
        <v>1059.5</v>
      </c>
      <c r="I206" s="3" t="s">
        <v>20</v>
      </c>
      <c r="J206" s="3">
        <v>105.95</v>
      </c>
      <c r="K206" s="3">
        <v>610</v>
      </c>
      <c r="L206" s="5">
        <v>0.105</v>
      </c>
      <c r="M206" s="3" t="s">
        <v>21</v>
      </c>
      <c r="N206" s="3">
        <v>1498</v>
      </c>
      <c r="O206" s="6">
        <f>Table1[[#This Row],[Current coupon %]]*Table1[[#This Row],[Face value]]/Table1[[#This Row],[Ask Price]]</f>
        <v>9.9103350637092968E-2</v>
      </c>
      <c r="P206" s="3"/>
      <c r="Q206" s="3" t="s">
        <v>22</v>
      </c>
      <c r="R206">
        <f t="shared" si="3"/>
        <v>5</v>
      </c>
      <c r="S206" s="22" cm="1">
        <f t="array" ref="S206">_xlfn.IFS(Table1[[#This Row],[Coupon frequency]]="Semi-annual",2,Table1[[#This Row],[Coupon frequency]]="Quarterly",4,Table1[[#This Row],[Coupon frequency]]="Annual",1,Table1[[#This Row],[Coupon frequency]]="Every 4 months",3,Table1[[#This Row],[Coupon frequency]]="Monthly",12)</f>
        <v>1</v>
      </c>
      <c r="T206">
        <f>Table1[[#This Row],[Term to Maturity (Years)]]*Table1[[#This Row],[Coupon Frequency2]]</f>
        <v>5</v>
      </c>
      <c r="U206">
        <f>Table1[[#This Row],[Face value]]*Table1[[#This Row],[Current coupon %]]/Table1[[#This Row],[Coupon Frequency2]]</f>
        <v>105</v>
      </c>
      <c r="V206" s="23">
        <f>RATE(Table1[[#This Row],[Total No. of Coupons]],Table1[[#This Row],[Coupon Amount]],-Table1[[#This Row],[Ask Price]],Table1[[#This Row],[Face value]])</f>
        <v>8.9714335381500032E-2</v>
      </c>
      <c r="W206" s="24">
        <f>Table1[[#This Row],[IRR]]*Table1[[#This Row],[Coupon Frequency2]]</f>
        <v>8.9714335381500032E-2</v>
      </c>
      <c r="X206" s="25" cm="1">
        <f t="array" ref="X20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6" s="26">
        <f>DURATION(Table1[[#This Row],[Issue date]],Table1[[#This Row],[Maturity date]],Table1[[#This Row],[Current coupon %]],Table1[[#This Row],[Yield (Annualised)]],Table1[[#This Row],[Coupon Frequency2]])</f>
        <v>4.1623982054239503</v>
      </c>
      <c r="Z206" s="26">
        <f>Table1[[#This Row],[Macaulay Duration in Years]]/(1+Table1[[#This Row],[IRR]])</f>
        <v>3.8197150117941039</v>
      </c>
      <c r="AA206" s="27">
        <f>VLOOKUP(Table1[[#This Row],[Yield Cluster]],'[1]Cluster Details'!$B$3:$C$16,2,0)</f>
        <v>7.8548801574189142E-2</v>
      </c>
      <c r="AB206" s="28">
        <f>PRICE(Table1[[#This Row],[Issue date]],Table1[[#This Row],[Maturity date]],Table1[[#This Row],[Current coupon %]],Table1[[#This Row],[Average Cluster Yield]],100,Table1[[#This Row],[Coupon Frequency2]])*Table1[[#This Row],[Face value]]/100</f>
        <v>1106.0171475719424</v>
      </c>
      <c r="AC206" s="27" t="str">
        <f>IF(Table1[[#This Row],[Ask Price]]&gt;Table1[[#This Row],[Calculated Bond Price]],"Rich","Cheap")</f>
        <v>Cheap</v>
      </c>
      <c r="AD206" s="28">
        <f>PRICE(Table1[[#This Row],[Issue date]],Table1[[#This Row],[Maturity date]],Table1[[#This Row],[Current coupon %]],Table1[[#This Row],[Yield (Annualised)]]+$AE$2,100,Table1[[#This Row],[Coupon Frequency2]])*Table1[[#This Row],[Face value]]/100</f>
        <v>1020.0514584725289</v>
      </c>
      <c r="AE206" s="28">
        <f>PRICE(Table1[[#This Row],[Issue date]],Table1[[#This Row],[Maturity date]],Table1[[#This Row],[Current coupon %]],Table1[[#This Row],[Yield (Annualised)]]-$AE$2,100,Table1[[#This Row],[Coupon Frequency2]])*Table1[[#This Row],[Face value]]/100</f>
        <v>1101.0343845359544</v>
      </c>
      <c r="AF206" s="28">
        <f>(Table1[[#This Row],[P (+ shock)]]+Table1[[#This Row],[P (-shock)]]-2*Table1[[#This Row],[Ask Price]])/(2*Table1[[#This Row],[Ask Price]]*($AE$2^2))</f>
        <v>9.8435252877921311</v>
      </c>
    </row>
    <row r="207" spans="1:32" x14ac:dyDescent="0.25">
      <c r="A207" s="21" t="s">
        <v>480</v>
      </c>
      <c r="B207" s="3" t="s">
        <v>481</v>
      </c>
      <c r="C207" s="3" t="s">
        <v>19</v>
      </c>
      <c r="D207" s="4">
        <v>45551</v>
      </c>
      <c r="E207" s="4">
        <v>47377</v>
      </c>
      <c r="F207" s="3">
        <v>1000</v>
      </c>
      <c r="G207" s="3" t="s">
        <v>20</v>
      </c>
      <c r="H207" s="3">
        <v>999</v>
      </c>
      <c r="I207" s="3" t="s">
        <v>20</v>
      </c>
      <c r="J207" s="3">
        <v>99.9</v>
      </c>
      <c r="K207" s="3">
        <v>250</v>
      </c>
      <c r="L207" s="5">
        <v>9.9000000000000005E-2</v>
      </c>
      <c r="M207" s="3" t="s">
        <v>21</v>
      </c>
      <c r="N207" s="3">
        <v>1460</v>
      </c>
      <c r="O207" s="6">
        <f>Table1[[#This Row],[Current coupon %]]*Table1[[#This Row],[Face value]]/Table1[[#This Row],[Ask Price]]</f>
        <v>9.90990990990991E-2</v>
      </c>
      <c r="P207" s="3"/>
      <c r="Q207" s="3" t="s">
        <v>22</v>
      </c>
      <c r="R207">
        <f t="shared" si="3"/>
        <v>5</v>
      </c>
      <c r="S207" s="22" cm="1">
        <f t="array" ref="S207">_xlfn.IFS(Table1[[#This Row],[Coupon frequency]]="Semi-annual",2,Table1[[#This Row],[Coupon frequency]]="Quarterly",4,Table1[[#This Row],[Coupon frequency]]="Annual",1,Table1[[#This Row],[Coupon frequency]]="Every 4 months",3,Table1[[#This Row],[Coupon frequency]]="Monthly",12)</f>
        <v>1</v>
      </c>
      <c r="T207">
        <f>Table1[[#This Row],[Term to Maturity (Years)]]*Table1[[#This Row],[Coupon Frequency2]]</f>
        <v>5</v>
      </c>
      <c r="U207">
        <f>Table1[[#This Row],[Face value]]*Table1[[#This Row],[Current coupon %]]/Table1[[#This Row],[Coupon Frequency2]]</f>
        <v>99</v>
      </c>
      <c r="V207" s="23">
        <f>RATE(Table1[[#This Row],[Total No. of Coupons]],Table1[[#This Row],[Coupon Amount]],-Table1[[#This Row],[Ask Price]],Table1[[#This Row],[Face value]])</f>
        <v>9.9263301194114542E-2</v>
      </c>
      <c r="W207" s="24">
        <f>Table1[[#This Row],[IRR]]*Table1[[#This Row],[Coupon Frequency2]]</f>
        <v>9.9263301194114542E-2</v>
      </c>
      <c r="X207" s="25" cm="1">
        <f t="array" ref="X20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7" s="26">
        <f>DURATION(Table1[[#This Row],[Issue date]],Table1[[#This Row],[Maturity date]],Table1[[#This Row],[Current coupon %]],Table1[[#This Row],[Yield (Annualised)]],Table1[[#This Row],[Coupon Frequency2]])</f>
        <v>4.1762919819814694</v>
      </c>
      <c r="Z207" s="26">
        <f>Table1[[#This Row],[Macaulay Duration in Years]]/(1+Table1[[#This Row],[IRR]])</f>
        <v>3.7991734804980943</v>
      </c>
      <c r="AA207" s="27">
        <f>VLOOKUP(Table1[[#This Row],[Yield Cluster]],'[1]Cluster Details'!$B$3:$C$16,2,0)</f>
        <v>7.8548801574189142E-2</v>
      </c>
      <c r="AB207" s="28">
        <f>PRICE(Table1[[#This Row],[Issue date]],Table1[[#This Row],[Maturity date]],Table1[[#This Row],[Current coupon %]],Table1[[#This Row],[Average Cluster Yield]],100,Table1[[#This Row],[Coupon Frequency2]])*Table1[[#This Row],[Face value]]/100</f>
        <v>1081.9689787445161</v>
      </c>
      <c r="AC207" s="27" t="str">
        <f>IF(Table1[[#This Row],[Ask Price]]&gt;Table1[[#This Row],[Calculated Bond Price]],"Rich","Cheap")</f>
        <v>Cheap</v>
      </c>
      <c r="AD207" s="28">
        <f>PRICE(Table1[[#This Row],[Issue date]],Table1[[#This Row],[Maturity date]],Table1[[#This Row],[Current coupon %]],Table1[[#This Row],[Yield (Annualised)]]+$AE$2,100,Table1[[#This Row],[Coupon Frequency2]])*Table1[[#This Row],[Face value]]/100</f>
        <v>961.99749481987544</v>
      </c>
      <c r="AE207" s="28">
        <f>PRICE(Table1[[#This Row],[Issue date]],Table1[[#This Row],[Maturity date]],Table1[[#This Row],[Current coupon %]],Table1[[#This Row],[Yield (Annualised)]]-$AE$2,100,Table1[[#This Row],[Coupon Frequency2]])*Table1[[#This Row],[Face value]]/100</f>
        <v>1037.9448665671805</v>
      </c>
      <c r="AF207" s="28">
        <f>(Table1[[#This Row],[P (+ shock)]]+Table1[[#This Row],[P (-shock)]]-2*Table1[[#This Row],[Ask Price]])/(2*Table1[[#This Row],[Ask Price]]*($AE$2^2))</f>
        <v>9.7215284637428709</v>
      </c>
    </row>
    <row r="208" spans="1:32" x14ac:dyDescent="0.25">
      <c r="A208" s="21" t="s">
        <v>482</v>
      </c>
      <c r="B208" s="3" t="s">
        <v>483</v>
      </c>
      <c r="C208" s="3" t="s">
        <v>19</v>
      </c>
      <c r="D208" s="4">
        <v>45443</v>
      </c>
      <c r="E208" s="4">
        <v>46538</v>
      </c>
      <c r="F208" s="3">
        <v>1000</v>
      </c>
      <c r="G208" s="3" t="s">
        <v>20</v>
      </c>
      <c r="H208" s="3">
        <v>999</v>
      </c>
      <c r="I208" s="3" t="s">
        <v>20</v>
      </c>
      <c r="J208" s="3">
        <v>99.9</v>
      </c>
      <c r="K208" s="3">
        <v>18</v>
      </c>
      <c r="L208" s="5">
        <v>9.9000000000000005E-2</v>
      </c>
      <c r="M208" s="3" t="s">
        <v>21</v>
      </c>
      <c r="N208" s="3">
        <v>621</v>
      </c>
      <c r="O208" s="6">
        <f>Table1[[#This Row],[Current coupon %]]*Table1[[#This Row],[Face value]]/Table1[[#This Row],[Ask Price]]</f>
        <v>9.90990990990991E-2</v>
      </c>
      <c r="P208" s="3" t="s">
        <v>25</v>
      </c>
      <c r="Q208" s="3" t="s">
        <v>22</v>
      </c>
      <c r="R208">
        <f t="shared" si="3"/>
        <v>3</v>
      </c>
      <c r="S208" s="22" cm="1">
        <f t="array" ref="S208">_xlfn.IFS(Table1[[#This Row],[Coupon frequency]]="Semi-annual",2,Table1[[#This Row],[Coupon frequency]]="Quarterly",4,Table1[[#This Row],[Coupon frequency]]="Annual",1,Table1[[#This Row],[Coupon frequency]]="Every 4 months",3,Table1[[#This Row],[Coupon frequency]]="Monthly",12)</f>
        <v>1</v>
      </c>
      <c r="T208">
        <f>Table1[[#This Row],[Term to Maturity (Years)]]*Table1[[#This Row],[Coupon Frequency2]]</f>
        <v>3</v>
      </c>
      <c r="U208">
        <f>Table1[[#This Row],[Face value]]*Table1[[#This Row],[Current coupon %]]/Table1[[#This Row],[Coupon Frequency2]]</f>
        <v>99</v>
      </c>
      <c r="V208" s="23">
        <f>RATE(Table1[[#This Row],[Total No. of Coupons]],Table1[[#This Row],[Coupon Amount]],-Table1[[#This Row],[Ask Price]],Table1[[#This Row],[Face value]])</f>
        <v>9.9401691314219082E-2</v>
      </c>
      <c r="W208" s="24">
        <f>Table1[[#This Row],[IRR]]*Table1[[#This Row],[Coupon Frequency2]]</f>
        <v>9.9401691314219082E-2</v>
      </c>
      <c r="X208" s="25" cm="1">
        <f t="array" ref="X20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8" s="26">
        <f>DURATION(Table1[[#This Row],[Issue date]],Table1[[#This Row],[Maturity date]],Table1[[#This Row],[Current coupon %]],Table1[[#This Row],[Yield (Annualised)]],Table1[[#This Row],[Coupon Frequency2]])</f>
        <v>2.7377325150907774</v>
      </c>
      <c r="Z208" s="26">
        <f>Table1[[#This Row],[Macaulay Duration in Years]]/(1+Table1[[#This Row],[IRR]])</f>
        <v>2.4902022042717675</v>
      </c>
      <c r="AA208" s="27">
        <f>VLOOKUP(Table1[[#This Row],[Yield Cluster]],'[1]Cluster Details'!$B$3:$C$16,2,0)</f>
        <v>7.8548801574189142E-2</v>
      </c>
      <c r="AB208" s="28">
        <f>PRICE(Table1[[#This Row],[Issue date]],Table1[[#This Row],[Maturity date]],Table1[[#This Row],[Current coupon %]],Table1[[#This Row],[Average Cluster Yield]],100,Table1[[#This Row],[Coupon Frequency2]])*Table1[[#This Row],[Face value]]/100</f>
        <v>1052.8430364273456</v>
      </c>
      <c r="AC208" s="27" t="str">
        <f>IF(Table1[[#This Row],[Ask Price]]&gt;Table1[[#This Row],[Calculated Bond Price]],"Rich","Cheap")</f>
        <v>Cheap</v>
      </c>
      <c r="AD208" s="28">
        <f>PRICE(Table1[[#This Row],[Issue date]],Table1[[#This Row],[Maturity date]],Table1[[#This Row],[Current coupon %]],Table1[[#This Row],[Yield (Annualised)]]+$AE$2,100,Table1[[#This Row],[Coupon Frequency2]])*Table1[[#This Row],[Face value]]/100</f>
        <v>974.55475973424257</v>
      </c>
      <c r="AE208" s="28">
        <f>PRICE(Table1[[#This Row],[Issue date]],Table1[[#This Row],[Maturity date]],Table1[[#This Row],[Current coupon %]],Table1[[#This Row],[Yield (Annualised)]]-$AE$2,100,Table1[[#This Row],[Coupon Frequency2]])*Table1[[#This Row],[Face value]]/100</f>
        <v>1024.3220783564827</v>
      </c>
      <c r="AF208" s="28">
        <f>(Table1[[#This Row],[P (+ shock)]]+Table1[[#This Row],[P (-shock)]]-2*Table1[[#This Row],[Ask Price]])/(2*Table1[[#This Row],[Ask Price]]*($AE$2^2))</f>
        <v>4.38857903265973</v>
      </c>
    </row>
    <row r="209" spans="1:32" x14ac:dyDescent="0.25">
      <c r="A209" s="21" t="s">
        <v>484</v>
      </c>
      <c r="B209" s="3" t="s">
        <v>485</v>
      </c>
      <c r="C209" s="3" t="s">
        <v>19</v>
      </c>
      <c r="D209" s="4">
        <v>45526</v>
      </c>
      <c r="E209" s="4">
        <v>46255</v>
      </c>
      <c r="F209" s="3">
        <v>100000</v>
      </c>
      <c r="G209" s="3" t="s">
        <v>20</v>
      </c>
      <c r="H209" s="3">
        <v>99906.77</v>
      </c>
      <c r="I209" s="3" t="s">
        <v>20</v>
      </c>
      <c r="J209" s="3">
        <v>99.906769999999995</v>
      </c>
      <c r="K209" s="3">
        <v>2</v>
      </c>
      <c r="L209" s="5">
        <v>9.9000000000000005E-2</v>
      </c>
      <c r="M209" s="3" t="s">
        <v>44</v>
      </c>
      <c r="N209" s="3">
        <v>338</v>
      </c>
      <c r="O209" s="6">
        <f>Table1[[#This Row],[Current coupon %]]*Table1[[#This Row],[Face value]]/Table1[[#This Row],[Ask Price]]</f>
        <v>9.9092383829444186E-2</v>
      </c>
      <c r="P209" s="3"/>
      <c r="Q209" s="3" t="s">
        <v>22</v>
      </c>
      <c r="R209">
        <f t="shared" si="3"/>
        <v>2</v>
      </c>
      <c r="S209" s="22" cm="1">
        <f t="array" ref="S209">_xlfn.IFS(Table1[[#This Row],[Coupon frequency]]="Semi-annual",2,Table1[[#This Row],[Coupon frequency]]="Quarterly",4,Table1[[#This Row],[Coupon frequency]]="Annual",1,Table1[[#This Row],[Coupon frequency]]="Every 4 months",3,Table1[[#This Row],[Coupon frequency]]="Monthly",12)</f>
        <v>4</v>
      </c>
      <c r="T209">
        <f>Table1[[#This Row],[Term to Maturity (Years)]]*Table1[[#This Row],[Coupon Frequency2]]</f>
        <v>8</v>
      </c>
      <c r="U209">
        <f>Table1[[#This Row],[Face value]]*Table1[[#This Row],[Current coupon %]]/Table1[[#This Row],[Coupon Frequency2]]</f>
        <v>2475</v>
      </c>
      <c r="V209" s="23">
        <f>RATE(Table1[[#This Row],[Total No. of Coupons]],Table1[[#This Row],[Coupon Amount]],-Table1[[#This Row],[Ask Price]],Table1[[#This Row],[Face value]])</f>
        <v>2.4879958863091384E-2</v>
      </c>
      <c r="W209" s="24">
        <f>Table1[[#This Row],[IRR]]*Table1[[#This Row],[Coupon Frequency2]]</f>
        <v>9.9519835452365535E-2</v>
      </c>
      <c r="X209" s="25" cm="1">
        <f t="array" ref="X20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09" s="26">
        <f>DURATION(Table1[[#This Row],[Issue date]],Table1[[#This Row],[Maturity date]],Table1[[#This Row],[Current coupon %]],Table1[[#This Row],[Yield (Annualised)]],Table1[[#This Row],[Coupon Frequency2]])</f>
        <v>1.835990867639387</v>
      </c>
      <c r="Z209" s="26">
        <f>Table1[[#This Row],[Macaulay Duration in Years]]/(1+Table1[[#This Row],[IRR]])</f>
        <v>1.7914204017376514</v>
      </c>
      <c r="AA209" s="27">
        <f>VLOOKUP(Table1[[#This Row],[Yield Cluster]],'[1]Cluster Details'!$B$3:$C$16,2,0)</f>
        <v>7.8548801574189142E-2</v>
      </c>
      <c r="AB209" s="28">
        <f>PRICE(Table1[[#This Row],[Issue date]],Table1[[#This Row],[Maturity date]],Table1[[#This Row],[Current coupon %]],Table1[[#This Row],[Average Cluster Yield]],100,Table1[[#This Row],[Coupon Frequency2]])*Table1[[#This Row],[Face value]]/100</f>
        <v>103746.15570199623</v>
      </c>
      <c r="AC209" s="27" t="str">
        <f>IF(Table1[[#This Row],[Ask Price]]&gt;Table1[[#This Row],[Calculated Bond Price]],"Rich","Cheap")</f>
        <v>Cheap</v>
      </c>
      <c r="AD209" s="28">
        <f>PRICE(Table1[[#This Row],[Issue date]],Table1[[#This Row],[Maturity date]],Table1[[#This Row],[Current coupon %]],Table1[[#This Row],[Yield (Annualised)]]+$AE$2,100,Table1[[#This Row],[Coupon Frequency2]])*Table1[[#This Row],[Face value]]/100</f>
        <v>98135.231564834423</v>
      </c>
      <c r="AE209" s="28">
        <f>PRICE(Table1[[#This Row],[Issue date]],Table1[[#This Row],[Maturity date]],Table1[[#This Row],[Current coupon %]],Table1[[#This Row],[Yield (Annualised)]]-$AE$2,100,Table1[[#This Row],[Coupon Frequency2]])*Table1[[#This Row],[Face value]]/100</f>
        <v>101716.01491862125</v>
      </c>
      <c r="AF209" s="28">
        <f>(Table1[[#This Row],[P (+ shock)]]+Table1[[#This Row],[P (-shock)]]-2*Table1[[#This Row],[Ask Price]])/(2*Table1[[#This Row],[Ask Price]]*($AE$2^2))</f>
        <v>1.8870835007310249</v>
      </c>
    </row>
    <row r="210" spans="1:32" x14ac:dyDescent="0.25">
      <c r="A210" s="21" t="s">
        <v>486</v>
      </c>
      <c r="B210" s="3" t="s">
        <v>487</v>
      </c>
      <c r="C210" s="3" t="s">
        <v>19</v>
      </c>
      <c r="D210" s="4">
        <v>45518</v>
      </c>
      <c r="E210" s="4">
        <v>46612</v>
      </c>
      <c r="F210" s="3">
        <v>100000</v>
      </c>
      <c r="G210" s="3" t="s">
        <v>20</v>
      </c>
      <c r="H210" s="3">
        <v>99920</v>
      </c>
      <c r="I210" s="3" t="s">
        <v>20</v>
      </c>
      <c r="J210" s="3">
        <v>99.92</v>
      </c>
      <c r="K210" s="3">
        <v>1</v>
      </c>
      <c r="L210" s="5">
        <v>9.9000000000000005E-2</v>
      </c>
      <c r="M210" s="3" t="s">
        <v>21</v>
      </c>
      <c r="N210" s="3">
        <v>695</v>
      </c>
      <c r="O210" s="6">
        <f>Table1[[#This Row],[Current coupon %]]*Table1[[#This Row],[Face value]]/Table1[[#This Row],[Ask Price]]</f>
        <v>9.9079263410728577E-2</v>
      </c>
      <c r="P210" s="3"/>
      <c r="Q210" s="3" t="s">
        <v>22</v>
      </c>
      <c r="R210">
        <f t="shared" si="3"/>
        <v>3</v>
      </c>
      <c r="S210" s="22" cm="1">
        <f t="array" ref="S210">_xlfn.IFS(Table1[[#This Row],[Coupon frequency]]="Semi-annual",2,Table1[[#This Row],[Coupon frequency]]="Quarterly",4,Table1[[#This Row],[Coupon frequency]]="Annual",1,Table1[[#This Row],[Coupon frequency]]="Every 4 months",3,Table1[[#This Row],[Coupon frequency]]="Monthly",12)</f>
        <v>1</v>
      </c>
      <c r="T210">
        <f>Table1[[#This Row],[Term to Maturity (Years)]]*Table1[[#This Row],[Coupon Frequency2]]</f>
        <v>3</v>
      </c>
      <c r="U210">
        <f>Table1[[#This Row],[Face value]]*Table1[[#This Row],[Current coupon %]]/Table1[[#This Row],[Coupon Frequency2]]</f>
        <v>9900</v>
      </c>
      <c r="V210" s="23">
        <f>RATE(Table1[[#This Row],[Total No. of Coupons]],Table1[[#This Row],[Coupon Amount]],-Table1[[#This Row],[Ask Price]],Table1[[#This Row],[Face value]])</f>
        <v>9.9321307542514142E-2</v>
      </c>
      <c r="W210" s="24">
        <f>Table1[[#This Row],[IRR]]*Table1[[#This Row],[Coupon Frequency2]]</f>
        <v>9.9321307542514142E-2</v>
      </c>
      <c r="X210" s="25" cm="1">
        <f t="array" ref="X2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0" s="26">
        <f>DURATION(Table1[[#This Row],[Issue date]],Table1[[#This Row],[Maturity date]],Table1[[#This Row],[Current coupon %]],Table1[[#This Row],[Yield (Annualised)]],Table1[[#This Row],[Coupon Frequency2]])</f>
        <v>2.7349820649165903</v>
      </c>
      <c r="Z210" s="26">
        <f>Table1[[#This Row],[Macaulay Duration in Years]]/(1+Table1[[#This Row],[IRR]])</f>
        <v>2.4878823380859649</v>
      </c>
      <c r="AA210" s="27">
        <f>VLOOKUP(Table1[[#This Row],[Yield Cluster]],'[1]Cluster Details'!$B$3:$C$16,2,0)</f>
        <v>7.8548801574189142E-2</v>
      </c>
      <c r="AB210" s="28">
        <f>PRICE(Table1[[#This Row],[Issue date]],Table1[[#This Row],[Maturity date]],Table1[[#This Row],[Current coupon %]],Table1[[#This Row],[Average Cluster Yield]],100,Table1[[#This Row],[Coupon Frequency2]])*Table1[[#This Row],[Face value]]/100</f>
        <v>105278.92047580291</v>
      </c>
      <c r="AC210" s="27" t="str">
        <f>IF(Table1[[#This Row],[Ask Price]]&gt;Table1[[#This Row],[Calculated Bond Price]],"Rich","Cheap")</f>
        <v>Cheap</v>
      </c>
      <c r="AD210" s="28">
        <f>PRICE(Table1[[#This Row],[Issue date]],Table1[[#This Row],[Maturity date]],Table1[[#This Row],[Current coupon %]],Table1[[#This Row],[Yield (Annualised)]]+$AE$2,100,Table1[[#This Row],[Coupon Frequency2]])*Table1[[#This Row],[Face value]]/100</f>
        <v>97475.381949061746</v>
      </c>
      <c r="AE210" s="28">
        <f>PRICE(Table1[[#This Row],[Issue date]],Table1[[#This Row],[Maturity date]],Table1[[#This Row],[Current coupon %]],Table1[[#This Row],[Yield (Annualised)]]-$AE$2,100,Table1[[#This Row],[Coupon Frequency2]])*Table1[[#This Row],[Face value]]/100</f>
        <v>102449.77978834351</v>
      </c>
      <c r="AF210" s="28">
        <f>(Table1[[#This Row],[P (+ shock)]]+Table1[[#This Row],[P (-shock)]]-2*Table1[[#This Row],[Ask Price]])/(2*Table1[[#This Row],[Ask Price]]*($AE$2^2))</f>
        <v>4.2614960671166164</v>
      </c>
    </row>
    <row r="211" spans="1:32" x14ac:dyDescent="0.25">
      <c r="A211" s="21" t="s">
        <v>488</v>
      </c>
      <c r="B211" s="3" t="s">
        <v>489</v>
      </c>
      <c r="C211" s="3" t="s">
        <v>19</v>
      </c>
      <c r="D211" s="4">
        <v>45813</v>
      </c>
      <c r="E211" s="4">
        <v>46393</v>
      </c>
      <c r="F211" s="3">
        <v>10000</v>
      </c>
      <c r="G211" s="3" t="s">
        <v>20</v>
      </c>
      <c r="H211" s="3">
        <v>9952.7800000000007</v>
      </c>
      <c r="I211" s="3" t="s">
        <v>20</v>
      </c>
      <c r="J211" s="3">
        <v>99.527799999999999</v>
      </c>
      <c r="K211" s="3">
        <v>1</v>
      </c>
      <c r="L211" s="5">
        <v>9.8599999999999993E-2</v>
      </c>
      <c r="M211" s="3" t="s">
        <v>44</v>
      </c>
      <c r="N211" s="3">
        <v>476</v>
      </c>
      <c r="O211" s="6">
        <f>Table1[[#This Row],[Current coupon %]]*Table1[[#This Row],[Face value]]/Table1[[#This Row],[Ask Price]]</f>
        <v>9.9067798142830427E-2</v>
      </c>
      <c r="P211" s="3"/>
      <c r="Q211" s="3" t="s">
        <v>22</v>
      </c>
      <c r="R211">
        <f t="shared" si="3"/>
        <v>2</v>
      </c>
      <c r="S211" s="22" cm="1">
        <f t="array" ref="S211">_xlfn.IFS(Table1[[#This Row],[Coupon frequency]]="Semi-annual",2,Table1[[#This Row],[Coupon frequency]]="Quarterly",4,Table1[[#This Row],[Coupon frequency]]="Annual",1,Table1[[#This Row],[Coupon frequency]]="Every 4 months",3,Table1[[#This Row],[Coupon frequency]]="Monthly",12)</f>
        <v>4</v>
      </c>
      <c r="T211">
        <f>Table1[[#This Row],[Term to Maturity (Years)]]*Table1[[#This Row],[Coupon Frequency2]]</f>
        <v>8</v>
      </c>
      <c r="U211">
        <f>Table1[[#This Row],[Face value]]*Table1[[#This Row],[Current coupon %]]/Table1[[#This Row],[Coupon Frequency2]]</f>
        <v>246.49999999999997</v>
      </c>
      <c r="V211" s="23">
        <f>RATE(Table1[[#This Row],[Total No. of Coupons]],Table1[[#This Row],[Coupon Amount]],-Table1[[#This Row],[Ask Price]],Table1[[#This Row],[Face value]])</f>
        <v>2.5309433989723813E-2</v>
      </c>
      <c r="W211" s="24">
        <f>Table1[[#This Row],[IRR]]*Table1[[#This Row],[Coupon Frequency2]]</f>
        <v>0.10123773595889525</v>
      </c>
      <c r="X211" s="25" cm="1">
        <f t="array" ref="X2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11" s="26">
        <f>DURATION(Table1[[#This Row],[Issue date]],Table1[[#This Row],[Maturity date]],Table1[[#This Row],[Current coupon %]],Table1[[#This Row],[Yield (Annualised)]],Table1[[#This Row],[Coupon Frequency2]])</f>
        <v>1.4644507767621129</v>
      </c>
      <c r="Z211" s="26">
        <f>Table1[[#This Row],[Macaulay Duration in Years]]/(1+Table1[[#This Row],[IRR]])</f>
        <v>1.4283012798034886</v>
      </c>
      <c r="AA211" s="27">
        <f>VLOOKUP(Table1[[#This Row],[Yield Cluster]],'[1]Cluster Details'!$B$3:$C$16,2,0)</f>
        <v>0.11069942689191503</v>
      </c>
      <c r="AB211" s="28">
        <f>PRICE(Table1[[#This Row],[Issue date]],Table1[[#This Row],[Maturity date]],Table1[[#This Row],[Current coupon %]],Table1[[#This Row],[Average Cluster Yield]],100,Table1[[#This Row],[Coupon Frequency2]])*Table1[[#This Row],[Face value]]/100</f>
        <v>9825.4228178837002</v>
      </c>
      <c r="AC211" s="27" t="str">
        <f>IF(Table1[[#This Row],[Ask Price]]&gt;Table1[[#This Row],[Calculated Bond Price]],"Rich","Cheap")</f>
        <v>Rich</v>
      </c>
      <c r="AD211" s="28">
        <f>PRICE(Table1[[#This Row],[Issue date]],Table1[[#This Row],[Maturity date]],Table1[[#This Row],[Current coupon %]],Table1[[#This Row],[Yield (Annualised)]]+$AE$2,100,Table1[[#This Row],[Coupon Frequency2]])*Table1[[#This Row],[Face value]]/100</f>
        <v>9817.7711452272415</v>
      </c>
      <c r="AE211" s="28">
        <f>PRICE(Table1[[#This Row],[Issue date]],Table1[[#This Row],[Maturity date]],Table1[[#This Row],[Current coupon %]],Table1[[#This Row],[Yield (Annualised)]]-$AE$2,100,Table1[[#This Row],[Coupon Frequency2]])*Table1[[#This Row],[Face value]]/100</f>
        <v>10106.953166854266</v>
      </c>
      <c r="AF211" s="28">
        <f>(Table1[[#This Row],[P (+ shock)]]+Table1[[#This Row],[P (-shock)]]-2*Table1[[#This Row],[Ask Price]])/(2*Table1[[#This Row],[Ask Price]]*($AE$2^2))</f>
        <v>9.6276176513024829</v>
      </c>
    </row>
    <row r="212" spans="1:32" x14ac:dyDescent="0.25">
      <c r="A212" s="21" t="s">
        <v>490</v>
      </c>
      <c r="B212" s="3" t="s">
        <v>491</v>
      </c>
      <c r="C212" s="3" t="s">
        <v>19</v>
      </c>
      <c r="D212" s="4">
        <v>45349</v>
      </c>
      <c r="E212" s="4">
        <v>48999</v>
      </c>
      <c r="F212" s="3">
        <v>100000</v>
      </c>
      <c r="G212" s="3" t="s">
        <v>20</v>
      </c>
      <c r="H212" s="3">
        <v>100464</v>
      </c>
      <c r="I212" s="3" t="s">
        <v>20</v>
      </c>
      <c r="J212" s="3">
        <v>100.464</v>
      </c>
      <c r="K212" s="3">
        <v>6</v>
      </c>
      <c r="L212" s="5">
        <v>9.9499999999999991E-2</v>
      </c>
      <c r="M212" s="3" t="s">
        <v>44</v>
      </c>
      <c r="N212" s="3">
        <v>3082</v>
      </c>
      <c r="O212" s="6">
        <f>Table1[[#This Row],[Current coupon %]]*Table1[[#This Row],[Face value]]/Table1[[#This Row],[Ask Price]]</f>
        <v>9.9040452301321871E-2</v>
      </c>
      <c r="P212" s="3"/>
      <c r="Q212" s="3" t="s">
        <v>22</v>
      </c>
      <c r="R212">
        <f t="shared" si="3"/>
        <v>10</v>
      </c>
      <c r="S212" s="22" cm="1">
        <f t="array" ref="S212">_xlfn.IFS(Table1[[#This Row],[Coupon frequency]]="Semi-annual",2,Table1[[#This Row],[Coupon frequency]]="Quarterly",4,Table1[[#This Row],[Coupon frequency]]="Annual",1,Table1[[#This Row],[Coupon frequency]]="Every 4 months",3,Table1[[#This Row],[Coupon frequency]]="Monthly",12)</f>
        <v>4</v>
      </c>
      <c r="T212">
        <f>Table1[[#This Row],[Term to Maturity (Years)]]*Table1[[#This Row],[Coupon Frequency2]]</f>
        <v>40</v>
      </c>
      <c r="U212">
        <f>Table1[[#This Row],[Face value]]*Table1[[#This Row],[Current coupon %]]/Table1[[#This Row],[Coupon Frequency2]]</f>
        <v>2487.5</v>
      </c>
      <c r="V212" s="23">
        <f>RATE(Table1[[#This Row],[Total No. of Coupons]],Table1[[#This Row],[Coupon Amount]],-Table1[[#This Row],[Ask Price]],Table1[[#This Row],[Face value]])</f>
        <v>2.4691120096804998E-2</v>
      </c>
      <c r="W212" s="24">
        <f>Table1[[#This Row],[IRR]]*Table1[[#This Row],[Coupon Frequency2]]</f>
        <v>9.8764480387219994E-2</v>
      </c>
      <c r="X212" s="25" cm="1">
        <f t="array" ref="X2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2" s="26">
        <f>DURATION(Table1[[#This Row],[Issue date]],Table1[[#This Row],[Maturity date]],Table1[[#This Row],[Current coupon %]],Table1[[#This Row],[Yield (Annualised)]],Table1[[#This Row],[Coupon Frequency2]])</f>
        <v>6.4460153007686189</v>
      </c>
      <c r="Z212" s="26">
        <f>Table1[[#This Row],[Macaulay Duration in Years]]/(1+Table1[[#This Row],[IRR]])</f>
        <v>6.2906910915356118</v>
      </c>
      <c r="AA212" s="27">
        <f>VLOOKUP(Table1[[#This Row],[Yield Cluster]],'[1]Cluster Details'!$B$3:$C$16,2,0)</f>
        <v>7.8548801574189142E-2</v>
      </c>
      <c r="AB212" s="28">
        <f>PRICE(Table1[[#This Row],[Issue date]],Table1[[#This Row],[Maturity date]],Table1[[#This Row],[Current coupon %]],Table1[[#This Row],[Average Cluster Yield]],100,Table1[[#This Row],[Coupon Frequency2]])*Table1[[#This Row],[Face value]]/100</f>
        <v>114411.12058765089</v>
      </c>
      <c r="AC212" s="27" t="str">
        <f>IF(Table1[[#This Row],[Ask Price]]&gt;Table1[[#This Row],[Calculated Bond Price]],"Rich","Cheap")</f>
        <v>Cheap</v>
      </c>
      <c r="AD212" s="28">
        <f>PRICE(Table1[[#This Row],[Issue date]],Table1[[#This Row],[Maturity date]],Table1[[#This Row],[Current coupon %]],Table1[[#This Row],[Yield (Annualised)]]+$AE$2,100,Table1[[#This Row],[Coupon Frequency2]])*Table1[[#This Row],[Face value]]/100</f>
        <v>94396.226209511398</v>
      </c>
      <c r="AE212" s="28">
        <f>PRICE(Table1[[#This Row],[Issue date]],Table1[[#This Row],[Maturity date]],Table1[[#This Row],[Current coupon %]],Table1[[#This Row],[Yield (Annualised)]]-$AE$2,100,Table1[[#This Row],[Coupon Frequency2]])*Table1[[#This Row],[Face value]]/100</f>
        <v>107062.93742147605</v>
      </c>
      <c r="AF212" s="28">
        <f>(Table1[[#This Row],[P (+ shock)]]+Table1[[#This Row],[P (-shock)]]-2*Table1[[#This Row],[Ask Price]])/(2*Table1[[#This Row],[Ask Price]]*($AE$2^2))</f>
        <v>26.435520733171053</v>
      </c>
    </row>
    <row r="213" spans="1:32" x14ac:dyDescent="0.25">
      <c r="A213" s="21" t="s">
        <v>75</v>
      </c>
      <c r="B213" s="3" t="s">
        <v>76</v>
      </c>
      <c r="C213" s="3" t="s">
        <v>19</v>
      </c>
      <c r="D213" s="4">
        <v>45511</v>
      </c>
      <c r="E213" s="4">
        <v>46606</v>
      </c>
      <c r="F213" s="3">
        <v>1000</v>
      </c>
      <c r="G213" s="3" t="s">
        <v>20</v>
      </c>
      <c r="H213" s="3">
        <v>1017.7</v>
      </c>
      <c r="I213" s="3" t="s">
        <v>20</v>
      </c>
      <c r="J213" s="3">
        <v>101.77</v>
      </c>
      <c r="K213" s="3">
        <v>100</v>
      </c>
      <c r="L213" s="5">
        <v>0.10199999999999999</v>
      </c>
      <c r="M213" s="3" t="s">
        <v>21</v>
      </c>
      <c r="N213" s="3">
        <v>689</v>
      </c>
      <c r="O213" s="6">
        <f>Table1[[#This Row],[Current coupon %]]*Table1[[#This Row],[Face value]]/Table1[[#This Row],[Ask Price]]</f>
        <v>0.10022599980347843</v>
      </c>
      <c r="P213" s="3"/>
      <c r="Q213" s="3" t="s">
        <v>22</v>
      </c>
      <c r="R213">
        <f t="shared" si="3"/>
        <v>3</v>
      </c>
      <c r="S213" s="22" cm="1">
        <f t="array" ref="S213">_xlfn.IFS(Table1[[#This Row],[Coupon frequency]]="Semi-annual",2,Table1[[#This Row],[Coupon frequency]]="Quarterly",4,Table1[[#This Row],[Coupon frequency]]="Annual",1,Table1[[#This Row],[Coupon frequency]]="Every 4 months",3,Table1[[#This Row],[Coupon frequency]]="Monthly",12)</f>
        <v>1</v>
      </c>
      <c r="T213">
        <f>Table1[[#This Row],[Term to Maturity (Years)]]*Table1[[#This Row],[Coupon Frequency2]]</f>
        <v>3</v>
      </c>
      <c r="U213">
        <f>Table1[[#This Row],[Face value]]*Table1[[#This Row],[Current coupon %]]/Table1[[#This Row],[Coupon Frequency2]]</f>
        <v>102</v>
      </c>
      <c r="V213" s="23">
        <f>RATE(Table1[[#This Row],[Total No. of Coupons]],Table1[[#This Row],[Coupon Amount]],-Table1[[#This Row],[Ask Price]],Table1[[#This Row],[Face value]])</f>
        <v>9.4945811732574756E-2</v>
      </c>
      <c r="W213" s="24">
        <f>Table1[[#This Row],[IRR]]*Table1[[#This Row],[Coupon Frequency2]]</f>
        <v>9.4945811732574756E-2</v>
      </c>
      <c r="X213" s="25" cm="1">
        <f t="array" ref="X2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3" s="26">
        <f>DURATION(Table1[[#This Row],[Issue date]],Table1[[#This Row],[Maturity date]],Table1[[#This Row],[Current coupon %]],Table1[[#This Row],[Yield (Annualised)]],Table1[[#This Row],[Coupon Frequency2]])</f>
        <v>2.7333318966975959</v>
      </c>
      <c r="Z213" s="26">
        <f>Table1[[#This Row],[Macaulay Duration in Years]]/(1+Table1[[#This Row],[IRR]])</f>
        <v>2.4963170482131347</v>
      </c>
      <c r="AA213" s="27">
        <f>VLOOKUP(Table1[[#This Row],[Yield Cluster]],'[1]Cluster Details'!$B$3:$C$16,2,0)</f>
        <v>7.8548801574189142E-2</v>
      </c>
      <c r="AB213" s="28">
        <f>PRICE(Table1[[#This Row],[Issue date]],Table1[[#This Row],[Maturity date]],Table1[[#This Row],[Current coupon %]],Table1[[#This Row],[Average Cluster Yield]],100,Table1[[#This Row],[Coupon Frequency2]])*Table1[[#This Row],[Face value]]/100</f>
        <v>1060.594616847296</v>
      </c>
      <c r="AC213" s="27" t="str">
        <f>IF(Table1[[#This Row],[Ask Price]]&gt;Table1[[#This Row],[Calculated Bond Price]],"Rich","Cheap")</f>
        <v>Cheap</v>
      </c>
      <c r="AD213" s="28">
        <f>PRICE(Table1[[#This Row],[Issue date]],Table1[[#This Row],[Maturity date]],Table1[[#This Row],[Current coupon %]],Table1[[#This Row],[Yield (Annualised)]]+$AE$2,100,Table1[[#This Row],[Coupon Frequency2]])*Table1[[#This Row],[Face value]]/100</f>
        <v>992.73752176787684</v>
      </c>
      <c r="AE213" s="28">
        <f>PRICE(Table1[[#This Row],[Issue date]],Table1[[#This Row],[Maturity date]],Table1[[#This Row],[Current coupon %]],Table1[[#This Row],[Yield (Annualised)]]-$AE$2,100,Table1[[#This Row],[Coupon Frequency2]])*Table1[[#This Row],[Face value]]/100</f>
        <v>1043.5610112504185</v>
      </c>
      <c r="AF213" s="28">
        <f>(Table1[[#This Row],[P (+ shock)]]+Table1[[#This Row],[P (-shock)]]-2*Table1[[#This Row],[Ask Price]])/(2*Table1[[#This Row],[Ask Price]]*($AE$2^2))</f>
        <v>4.4145279468173877</v>
      </c>
    </row>
    <row r="214" spans="1:32" x14ac:dyDescent="0.25">
      <c r="A214" s="21" t="s">
        <v>492</v>
      </c>
      <c r="B214" s="3" t="s">
        <v>493</v>
      </c>
      <c r="C214" s="3" t="s">
        <v>19</v>
      </c>
      <c r="D214" s="4">
        <v>45309</v>
      </c>
      <c r="E214" s="4">
        <v>48961</v>
      </c>
      <c r="F214" s="3">
        <v>100000</v>
      </c>
      <c r="G214" s="3" t="s">
        <v>20</v>
      </c>
      <c r="H214" s="3">
        <v>100517</v>
      </c>
      <c r="I214" s="3" t="s">
        <v>20</v>
      </c>
      <c r="J214" s="3">
        <v>100.517</v>
      </c>
      <c r="K214" s="3">
        <v>13</v>
      </c>
      <c r="L214" s="5">
        <v>9.9499999999999991E-2</v>
      </c>
      <c r="M214" s="3" t="s">
        <v>44</v>
      </c>
      <c r="N214" s="3">
        <v>3044</v>
      </c>
      <c r="O214" s="6">
        <f>Table1[[#This Row],[Current coupon %]]*Table1[[#This Row],[Face value]]/Table1[[#This Row],[Ask Price]]</f>
        <v>9.8988230846523473E-2</v>
      </c>
      <c r="P214" s="3"/>
      <c r="Q214" s="3" t="s">
        <v>22</v>
      </c>
      <c r="R214">
        <f t="shared" si="3"/>
        <v>10</v>
      </c>
      <c r="S214" s="22" cm="1">
        <f t="array" ref="S214">_xlfn.IFS(Table1[[#This Row],[Coupon frequency]]="Semi-annual",2,Table1[[#This Row],[Coupon frequency]]="Quarterly",4,Table1[[#This Row],[Coupon frequency]]="Annual",1,Table1[[#This Row],[Coupon frequency]]="Every 4 months",3,Table1[[#This Row],[Coupon frequency]]="Monthly",12)</f>
        <v>4</v>
      </c>
      <c r="T214">
        <f>Table1[[#This Row],[Term to Maturity (Years)]]*Table1[[#This Row],[Coupon Frequency2]]</f>
        <v>40</v>
      </c>
      <c r="U214">
        <f>Table1[[#This Row],[Face value]]*Table1[[#This Row],[Current coupon %]]/Table1[[#This Row],[Coupon Frequency2]]</f>
        <v>2487.5</v>
      </c>
      <c r="V214" s="23">
        <f>RATE(Table1[[#This Row],[Total No. of Coupons]],Table1[[#This Row],[Coupon Amount]],-Table1[[#This Row],[Ask Price]],Table1[[#This Row],[Face value]])</f>
        <v>2.4670188970442881E-2</v>
      </c>
      <c r="W214" s="24">
        <f>Table1[[#This Row],[IRR]]*Table1[[#This Row],[Coupon Frequency2]]</f>
        <v>9.8680755881771526E-2</v>
      </c>
      <c r="X214" s="25" cm="1">
        <f t="array" ref="X2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4" s="26">
        <f>DURATION(Table1[[#This Row],[Issue date]],Table1[[#This Row],[Maturity date]],Table1[[#This Row],[Current coupon %]],Table1[[#This Row],[Yield (Annualised)]],Table1[[#This Row],[Coupon Frequency2]])</f>
        <v>6.4525933149886532</v>
      </c>
      <c r="Z214" s="26">
        <f>Table1[[#This Row],[Macaulay Duration in Years]]/(1+Table1[[#This Row],[IRR]])</f>
        <v>6.2972392331156044</v>
      </c>
      <c r="AA214" s="27">
        <f>VLOOKUP(Table1[[#This Row],[Yield Cluster]],'[1]Cluster Details'!$B$3:$C$16,2,0)</f>
        <v>7.8548801574189142E-2</v>
      </c>
      <c r="AB214" s="28">
        <f>PRICE(Table1[[#This Row],[Issue date]],Table1[[#This Row],[Maturity date]],Table1[[#This Row],[Current coupon %]],Table1[[#This Row],[Average Cluster Yield]],100,Table1[[#This Row],[Coupon Frequency2]])*Table1[[#This Row],[Face value]]/100</f>
        <v>114416.93013089962</v>
      </c>
      <c r="AC214" s="27" t="str">
        <f>IF(Table1[[#This Row],[Ask Price]]&gt;Table1[[#This Row],[Calculated Bond Price]],"Rich","Cheap")</f>
        <v>Cheap</v>
      </c>
      <c r="AD214" s="28">
        <f>PRICE(Table1[[#This Row],[Issue date]],Table1[[#This Row],[Maturity date]],Table1[[#This Row],[Current coupon %]],Table1[[#This Row],[Yield (Annualised)]]+$AE$2,100,Table1[[#This Row],[Coupon Frequency2]])*Table1[[#This Row],[Face value]]/100</f>
        <v>94443.919771964676</v>
      </c>
      <c r="AE214" s="28">
        <f>PRICE(Table1[[#This Row],[Issue date]],Table1[[#This Row],[Maturity date]],Table1[[#This Row],[Current coupon %]],Table1[[#This Row],[Yield (Annualised)]]-$AE$2,100,Table1[[#This Row],[Coupon Frequency2]])*Table1[[#This Row],[Face value]]/100</f>
        <v>107123.64546368117</v>
      </c>
      <c r="AF214" s="28">
        <f>(Table1[[#This Row],[P (+ shock)]]+Table1[[#This Row],[P (-shock)]]-2*Table1[[#This Row],[Ask Price]])/(2*Table1[[#This Row],[Ask Price]]*($AE$2^2))</f>
        <v>26.541044581805043</v>
      </c>
    </row>
    <row r="215" spans="1:32" x14ac:dyDescent="0.25">
      <c r="A215" s="21" t="s">
        <v>494</v>
      </c>
      <c r="B215" s="3" t="s">
        <v>495</v>
      </c>
      <c r="C215" s="3" t="s">
        <v>19</v>
      </c>
      <c r="D215" s="4">
        <v>45287</v>
      </c>
      <c r="E215" s="4">
        <v>46383</v>
      </c>
      <c r="F215" s="3">
        <v>1000</v>
      </c>
      <c r="G215" s="3" t="s">
        <v>20</v>
      </c>
      <c r="H215" s="3">
        <v>1000.2</v>
      </c>
      <c r="I215" s="3" t="s">
        <v>20</v>
      </c>
      <c r="J215" s="3">
        <v>100.02</v>
      </c>
      <c r="K215" s="3">
        <v>5</v>
      </c>
      <c r="L215" s="5">
        <v>9.9000000000000005E-2</v>
      </c>
      <c r="M215" s="3" t="s">
        <v>21</v>
      </c>
      <c r="N215" s="3">
        <v>466</v>
      </c>
      <c r="O215" s="6">
        <f>Table1[[#This Row],[Current coupon %]]*Table1[[#This Row],[Face value]]/Table1[[#This Row],[Ask Price]]</f>
        <v>9.898020395920816E-2</v>
      </c>
      <c r="P215" s="3" t="s">
        <v>25</v>
      </c>
      <c r="Q215" s="3" t="s">
        <v>22</v>
      </c>
      <c r="R215">
        <f t="shared" si="3"/>
        <v>3</v>
      </c>
      <c r="S215" s="22" cm="1">
        <f t="array" ref="S215">_xlfn.IFS(Table1[[#This Row],[Coupon frequency]]="Semi-annual",2,Table1[[#This Row],[Coupon frequency]]="Quarterly",4,Table1[[#This Row],[Coupon frequency]]="Annual",1,Table1[[#This Row],[Coupon frequency]]="Every 4 months",3,Table1[[#This Row],[Coupon frequency]]="Monthly",12)</f>
        <v>1</v>
      </c>
      <c r="T215">
        <f>Table1[[#This Row],[Term to Maturity (Years)]]*Table1[[#This Row],[Coupon Frequency2]]</f>
        <v>3</v>
      </c>
      <c r="U215">
        <f>Table1[[#This Row],[Face value]]*Table1[[#This Row],[Current coupon %]]/Table1[[#This Row],[Coupon Frequency2]]</f>
        <v>99</v>
      </c>
      <c r="V215" s="23">
        <f>RATE(Table1[[#This Row],[Total No. of Coupons]],Table1[[#This Row],[Coupon Amount]],-Table1[[#This Row],[Ask Price]],Table1[[#This Row],[Face value]])</f>
        <v>9.8919729944751858E-2</v>
      </c>
      <c r="W215" s="24">
        <f>Table1[[#This Row],[IRR]]*Table1[[#This Row],[Coupon Frequency2]]</f>
        <v>9.8919729944751858E-2</v>
      </c>
      <c r="X215" s="25" cm="1">
        <f t="array" ref="X2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5" s="26">
        <f>DURATION(Table1[[#This Row],[Issue date]],Table1[[#This Row],[Maturity date]],Table1[[#This Row],[Current coupon %]],Table1[[#This Row],[Yield (Annualised)]],Table1[[#This Row],[Coupon Frequency2]])</f>
        <v>2.7378963553063733</v>
      </c>
      <c r="Z215" s="26">
        <f>Table1[[#This Row],[Macaulay Duration in Years]]/(1+Table1[[#This Row],[IRR]])</f>
        <v>2.4914434427744969</v>
      </c>
      <c r="AA215" s="27">
        <f>VLOOKUP(Table1[[#This Row],[Yield Cluster]],'[1]Cluster Details'!$B$3:$C$16,2,0)</f>
        <v>7.8548801574189142E-2</v>
      </c>
      <c r="AB215" s="28">
        <f>PRICE(Table1[[#This Row],[Issue date]],Table1[[#This Row],[Maturity date]],Table1[[#This Row],[Current coupon %]],Table1[[#This Row],[Average Cluster Yield]],100,Table1[[#This Row],[Coupon Frequency2]])*Table1[[#This Row],[Face value]]/100</f>
        <v>1052.8430364273456</v>
      </c>
      <c r="AC215" s="27" t="str">
        <f>IF(Table1[[#This Row],[Ask Price]]&gt;Table1[[#This Row],[Calculated Bond Price]],"Rich","Cheap")</f>
        <v>Cheap</v>
      </c>
      <c r="AD215" s="28">
        <f>PRICE(Table1[[#This Row],[Issue date]],Table1[[#This Row],[Maturity date]],Table1[[#This Row],[Current coupon %]],Table1[[#This Row],[Yield (Annualised)]]+$AE$2,100,Table1[[#This Row],[Coupon Frequency2]])*Table1[[#This Row],[Face value]]/100</f>
        <v>975.71339222669803</v>
      </c>
      <c r="AE215" s="28">
        <f>PRICE(Table1[[#This Row],[Issue date]],Table1[[#This Row],[Maturity date]],Table1[[#This Row],[Current coupon %]],Table1[[#This Row],[Yield (Annualised)]]-$AE$2,100,Table1[[#This Row],[Coupon Frequency2]])*Table1[[#This Row],[Face value]]/100</f>
        <v>1025.5653395564984</v>
      </c>
      <c r="AF215" s="28">
        <f>(Table1[[#This Row],[P (+ shock)]]+Table1[[#This Row],[P (-shock)]]-2*Table1[[#This Row],[Ask Price]])/(2*Table1[[#This Row],[Ask Price]]*($AE$2^2))</f>
        <v>4.3927803599098771</v>
      </c>
    </row>
    <row r="216" spans="1:32" x14ac:dyDescent="0.25">
      <c r="A216" s="21" t="s">
        <v>496</v>
      </c>
      <c r="B216" s="3" t="s">
        <v>497</v>
      </c>
      <c r="C216" s="3" t="s">
        <v>19</v>
      </c>
      <c r="D216" s="4">
        <v>45440</v>
      </c>
      <c r="E216" s="4">
        <v>46354</v>
      </c>
      <c r="F216" s="3">
        <v>100000</v>
      </c>
      <c r="G216" s="3" t="s">
        <v>20</v>
      </c>
      <c r="H216" s="3">
        <v>100541.85</v>
      </c>
      <c r="I216" s="3" t="s">
        <v>20</v>
      </c>
      <c r="J216" s="3">
        <v>100.54185</v>
      </c>
      <c r="K216" s="3">
        <v>1</v>
      </c>
      <c r="L216" s="5">
        <v>9.9499999999999991E-2</v>
      </c>
      <c r="M216" s="3" t="s">
        <v>44</v>
      </c>
      <c r="N216" s="3">
        <v>437</v>
      </c>
      <c r="O216" s="6">
        <f>Table1[[#This Row],[Current coupon %]]*Table1[[#This Row],[Face value]]/Table1[[#This Row],[Ask Price]]</f>
        <v>9.8963764840213297E-2</v>
      </c>
      <c r="P216" s="3"/>
      <c r="Q216" s="3" t="s">
        <v>22</v>
      </c>
      <c r="R216">
        <f t="shared" si="3"/>
        <v>3</v>
      </c>
      <c r="S216" s="22" cm="1">
        <f t="array" ref="S216">_xlfn.IFS(Table1[[#This Row],[Coupon frequency]]="Semi-annual",2,Table1[[#This Row],[Coupon frequency]]="Quarterly",4,Table1[[#This Row],[Coupon frequency]]="Annual",1,Table1[[#This Row],[Coupon frequency]]="Every 4 months",3,Table1[[#This Row],[Coupon frequency]]="Monthly",12)</f>
        <v>4</v>
      </c>
      <c r="T216">
        <f>Table1[[#This Row],[Term to Maturity (Years)]]*Table1[[#This Row],[Coupon Frequency2]]</f>
        <v>12</v>
      </c>
      <c r="U216">
        <f>Table1[[#This Row],[Face value]]*Table1[[#This Row],[Current coupon %]]/Table1[[#This Row],[Coupon Frequency2]]</f>
        <v>2487.5</v>
      </c>
      <c r="V216" s="23">
        <f>RATE(Table1[[#This Row],[Total No. of Coupons]],Table1[[#This Row],[Coupon Amount]],-Table1[[#This Row],[Ask Price]],Table1[[#This Row],[Face value]])</f>
        <v>2.4348846442831206E-2</v>
      </c>
      <c r="W216" s="24">
        <f>Table1[[#This Row],[IRR]]*Table1[[#This Row],[Coupon Frequency2]]</f>
        <v>9.7395385771324824E-2</v>
      </c>
      <c r="X216" s="25" cm="1">
        <f t="array" ref="X2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6" s="26">
        <f>DURATION(Table1[[#This Row],[Issue date]],Table1[[#This Row],[Maturity date]],Table1[[#This Row],[Current coupon %]],Table1[[#This Row],[Yield (Annualised)]],Table1[[#This Row],[Coupon Frequency2]])</f>
        <v>2.2446047822628534</v>
      </c>
      <c r="Z216" s="26">
        <f>Table1[[#This Row],[Macaulay Duration in Years]]/(1+Table1[[#This Row],[IRR]])</f>
        <v>2.1912503636407665</v>
      </c>
      <c r="AA216" s="27">
        <f>VLOOKUP(Table1[[#This Row],[Yield Cluster]],'[1]Cluster Details'!$B$3:$C$16,2,0)</f>
        <v>7.8548801574189142E-2</v>
      </c>
      <c r="AB216" s="28">
        <f>PRICE(Table1[[#This Row],[Issue date]],Table1[[#This Row],[Maturity date]],Table1[[#This Row],[Current coupon %]],Table1[[#This Row],[Average Cluster Yield]],100,Table1[[#This Row],[Coupon Frequency2]])*Table1[[#This Row],[Face value]]/100</f>
        <v>104713.8413959074</v>
      </c>
      <c r="AC216" s="27" t="str">
        <f>IF(Table1[[#This Row],[Ask Price]]&gt;Table1[[#This Row],[Calculated Bond Price]],"Rich","Cheap")</f>
        <v>Cheap</v>
      </c>
      <c r="AD216" s="28">
        <f>PRICE(Table1[[#This Row],[Issue date]],Table1[[#This Row],[Maturity date]],Table1[[#This Row],[Current coupon %]],Table1[[#This Row],[Yield (Annualised)]]+$AE$2,100,Table1[[#This Row],[Coupon Frequency2]])*Table1[[#This Row],[Face value]]/100</f>
        <v>98288.864819589609</v>
      </c>
      <c r="AE216" s="28">
        <f>PRICE(Table1[[#This Row],[Issue date]],Table1[[#This Row],[Maturity date]],Table1[[#This Row],[Current coupon %]],Table1[[#This Row],[Yield (Annualised)]]-$AE$2,100,Table1[[#This Row],[Coupon Frequency2]])*Table1[[#This Row],[Face value]]/100</f>
        <v>102692.16011440367</v>
      </c>
      <c r="AF216" s="28">
        <f>(Table1[[#This Row],[P (+ shock)]]+Table1[[#This Row],[P (-shock)]]-2*Table1[[#This Row],[Ask Price]])/(2*Table1[[#This Row],[Ask Price]]*($AE$2^2))</f>
        <v>-5.1060859734886082</v>
      </c>
    </row>
    <row r="217" spans="1:32" x14ac:dyDescent="0.25">
      <c r="A217" s="21" t="s">
        <v>498</v>
      </c>
      <c r="B217" s="3" t="s">
        <v>499</v>
      </c>
      <c r="C217" s="3" t="s">
        <v>19</v>
      </c>
      <c r="D217" s="4">
        <v>44204</v>
      </c>
      <c r="E217" s="4">
        <v>47856</v>
      </c>
      <c r="F217" s="3">
        <v>1000</v>
      </c>
      <c r="G217" s="3" t="s">
        <v>20</v>
      </c>
      <c r="H217" s="3">
        <v>1005.8</v>
      </c>
      <c r="I217" s="3" t="s">
        <v>20</v>
      </c>
      <c r="J217" s="3">
        <v>100.58</v>
      </c>
      <c r="K217" s="3">
        <v>81</v>
      </c>
      <c r="L217" s="5">
        <v>9.9499999999999991E-2</v>
      </c>
      <c r="M217" s="3" t="s">
        <v>21</v>
      </c>
      <c r="N217" s="3">
        <v>1939</v>
      </c>
      <c r="O217" s="6">
        <f>Table1[[#This Row],[Current coupon %]]*Table1[[#This Row],[Face value]]/Table1[[#This Row],[Ask Price]]</f>
        <v>9.8926227878305822E-2</v>
      </c>
      <c r="P217" s="3"/>
      <c r="Q217" s="3" t="s">
        <v>22</v>
      </c>
      <c r="R217">
        <f t="shared" si="3"/>
        <v>10</v>
      </c>
      <c r="S217" s="22" cm="1">
        <f t="array" ref="S217">_xlfn.IFS(Table1[[#This Row],[Coupon frequency]]="Semi-annual",2,Table1[[#This Row],[Coupon frequency]]="Quarterly",4,Table1[[#This Row],[Coupon frequency]]="Annual",1,Table1[[#This Row],[Coupon frequency]]="Every 4 months",3,Table1[[#This Row],[Coupon frequency]]="Monthly",12)</f>
        <v>1</v>
      </c>
      <c r="T217">
        <f>Table1[[#This Row],[Term to Maturity (Years)]]*Table1[[#This Row],[Coupon Frequency2]]</f>
        <v>10</v>
      </c>
      <c r="U217">
        <f>Table1[[#This Row],[Face value]]*Table1[[#This Row],[Current coupon %]]/Table1[[#This Row],[Coupon Frequency2]]</f>
        <v>99.499999999999986</v>
      </c>
      <c r="V217" s="23">
        <f>RATE(Table1[[#This Row],[Total No. of Coupons]],Table1[[#This Row],[Coupon Amount]],-Table1[[#This Row],[Ask Price]],Table1[[#This Row],[Face value]])</f>
        <v>9.8561900315397591E-2</v>
      </c>
      <c r="W217" s="24">
        <f>Table1[[#This Row],[IRR]]*Table1[[#This Row],[Coupon Frequency2]]</f>
        <v>9.8561900315397591E-2</v>
      </c>
      <c r="X217" s="25" cm="1">
        <f t="array" ref="X2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7" s="26">
        <f>DURATION(Table1[[#This Row],[Issue date]],Table1[[#This Row],[Maturity date]],Table1[[#This Row],[Current coupon %]],Table1[[#This Row],[Yield (Annualised)]],Table1[[#This Row],[Coupon Frequency2]])</f>
        <v>6.780233814669665</v>
      </c>
      <c r="Z217" s="26">
        <f>Table1[[#This Row],[Macaulay Duration in Years]]/(1+Table1[[#This Row],[IRR]])</f>
        <v>6.17191786163625</v>
      </c>
      <c r="AA217" s="27">
        <f>VLOOKUP(Table1[[#This Row],[Yield Cluster]],'[1]Cluster Details'!$B$3:$C$16,2,0)</f>
        <v>7.8548801574189142E-2</v>
      </c>
      <c r="AB217" s="28">
        <f>PRICE(Table1[[#This Row],[Issue date]],Table1[[#This Row],[Maturity date]],Table1[[#This Row],[Current coupon %]],Table1[[#This Row],[Average Cluster Yield]],100,Table1[[#This Row],[Coupon Frequency2]])*Table1[[#This Row],[Face value]]/100</f>
        <v>1141.5091204059554</v>
      </c>
      <c r="AC217" s="27" t="str">
        <f>IF(Table1[[#This Row],[Ask Price]]&gt;Table1[[#This Row],[Calculated Bond Price]],"Rich","Cheap")</f>
        <v>Cheap</v>
      </c>
      <c r="AD217" s="28">
        <f>PRICE(Table1[[#This Row],[Issue date]],Table1[[#This Row],[Maturity date]],Table1[[#This Row],[Current coupon %]],Table1[[#This Row],[Yield (Annualised)]]+$AE$2,100,Table1[[#This Row],[Coupon Frequency2]])*Table1[[#This Row],[Face value]]/100</f>
        <v>946.30901452561488</v>
      </c>
      <c r="AE217" s="28">
        <f>PRICE(Table1[[#This Row],[Issue date]],Table1[[#This Row],[Maturity date]],Table1[[#This Row],[Current coupon %]],Table1[[#This Row],[Yield (Annualised)]]-$AE$2,100,Table1[[#This Row],[Coupon Frequency2]])*Table1[[#This Row],[Face value]]/100</f>
        <v>1070.6435186814822</v>
      </c>
      <c r="AF217" s="28">
        <f>(Table1[[#This Row],[P (+ shock)]]+Table1[[#This Row],[P (-shock)]]-2*Table1[[#This Row],[Ask Price]])/(2*Table1[[#This Row],[Ask Price]]*($AE$2^2))</f>
        <v>26.608337676959469</v>
      </c>
    </row>
    <row r="218" spans="1:32" x14ac:dyDescent="0.25">
      <c r="A218" s="21" t="s">
        <v>500</v>
      </c>
      <c r="B218" s="3" t="s">
        <v>501</v>
      </c>
      <c r="C218" s="3" t="s">
        <v>19</v>
      </c>
      <c r="D218" s="4">
        <v>44841</v>
      </c>
      <c r="E218" s="4">
        <v>46112</v>
      </c>
      <c r="F218" s="3">
        <v>1000000</v>
      </c>
      <c r="G218" s="3" t="s">
        <v>20</v>
      </c>
      <c r="H218" s="3">
        <v>1006151</v>
      </c>
      <c r="I218" s="3" t="s">
        <v>20</v>
      </c>
      <c r="J218" s="3">
        <v>100.6151</v>
      </c>
      <c r="K218" s="3">
        <v>1</v>
      </c>
      <c r="L218" s="5">
        <v>9.9499999999999991E-2</v>
      </c>
      <c r="M218" s="3" t="s">
        <v>44</v>
      </c>
      <c r="N218" s="3">
        <v>195</v>
      </c>
      <c r="O218" s="6">
        <f>Table1[[#This Row],[Current coupon %]]*Table1[[#This Row],[Face value]]/Table1[[#This Row],[Ask Price]]</f>
        <v>9.8891717048435065E-2</v>
      </c>
      <c r="P218" s="3"/>
      <c r="Q218" s="3" t="s">
        <v>22</v>
      </c>
      <c r="R218">
        <f t="shared" si="3"/>
        <v>3</v>
      </c>
      <c r="S218" s="22" cm="1">
        <f t="array" ref="S218">_xlfn.IFS(Table1[[#This Row],[Coupon frequency]]="Semi-annual",2,Table1[[#This Row],[Coupon frequency]]="Quarterly",4,Table1[[#This Row],[Coupon frequency]]="Annual",1,Table1[[#This Row],[Coupon frequency]]="Every 4 months",3,Table1[[#This Row],[Coupon frequency]]="Monthly",12)</f>
        <v>4</v>
      </c>
      <c r="T218">
        <f>Table1[[#This Row],[Term to Maturity (Years)]]*Table1[[#This Row],[Coupon Frequency2]]</f>
        <v>12</v>
      </c>
      <c r="U218">
        <f>Table1[[#This Row],[Face value]]*Table1[[#This Row],[Current coupon %]]/Table1[[#This Row],[Coupon Frequency2]]</f>
        <v>24874.999999999996</v>
      </c>
      <c r="V218" s="23">
        <f>RATE(Table1[[#This Row],[Total No. of Coupons]],Table1[[#This Row],[Coupon Amount]],-Table1[[#This Row],[Ask Price]],Table1[[#This Row],[Face value]])</f>
        <v>2.4277975112774238E-2</v>
      </c>
      <c r="W218" s="24">
        <f>Table1[[#This Row],[IRR]]*Table1[[#This Row],[Coupon Frequency2]]</f>
        <v>9.7111900451096952E-2</v>
      </c>
      <c r="X218" s="25" cm="1">
        <f t="array" ref="X2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18" s="26">
        <f>DURATION(Table1[[#This Row],[Issue date]],Table1[[#This Row],[Maturity date]],Table1[[#This Row],[Current coupon %]],Table1[[#This Row],[Yield (Annualised)]],Table1[[#This Row],[Coupon Frequency2]])</f>
        <v>2.9806929536045392</v>
      </c>
      <c r="Z218" s="26">
        <f>Table1[[#This Row],[Macaulay Duration in Years]]/(1+Table1[[#This Row],[IRR]])</f>
        <v>2.9100430020242909</v>
      </c>
      <c r="AA218" s="27">
        <f>VLOOKUP(Table1[[#This Row],[Yield Cluster]],'[1]Cluster Details'!$B$3:$C$16,2,0)</f>
        <v>7.8548801574189142E-2</v>
      </c>
      <c r="AB218" s="28">
        <f>PRICE(Table1[[#This Row],[Issue date]],Table1[[#This Row],[Maturity date]],Table1[[#This Row],[Current coupon %]],Table1[[#This Row],[Average Cluster Yield]],100,Table1[[#This Row],[Coupon Frequency2]])*Table1[[#This Row],[Face value]]/100</f>
        <v>1063247.4984101015</v>
      </c>
      <c r="AC218" s="27" t="str">
        <f>IF(Table1[[#This Row],[Ask Price]]&gt;Table1[[#This Row],[Calculated Bond Price]],"Rich","Cheap")</f>
        <v>Cheap</v>
      </c>
      <c r="AD218" s="28">
        <f>PRICE(Table1[[#This Row],[Issue date]],Table1[[#This Row],[Maturity date]],Table1[[#This Row],[Current coupon %]],Table1[[#This Row],[Yield (Annualised)]]+$AE$2,100,Table1[[#This Row],[Coupon Frequency2]])*Table1[[#This Row],[Face value]]/100</f>
        <v>978101.52521554055</v>
      </c>
      <c r="AE218" s="28">
        <f>PRICE(Table1[[#This Row],[Issue date]],Table1[[#This Row],[Maturity date]],Table1[[#This Row],[Current coupon %]],Table1[[#This Row],[Yield (Annualised)]]-$AE$2,100,Table1[[#This Row],[Coupon Frequency2]])*Table1[[#This Row],[Face value]]/100</f>
        <v>1036832.8725807447</v>
      </c>
      <c r="AF218" s="28">
        <f>(Table1[[#This Row],[P (+ shock)]]+Table1[[#This Row],[P (-shock)]]-2*Table1[[#This Row],[Ask Price]])/(2*Table1[[#This Row],[Ask Price]]*($AE$2^2))</f>
        <v>13.081524524079084</v>
      </c>
    </row>
    <row r="219" spans="1:32" x14ac:dyDescent="0.25">
      <c r="A219" s="21" t="s">
        <v>502</v>
      </c>
      <c r="B219" s="3" t="s">
        <v>503</v>
      </c>
      <c r="C219" s="3" t="s">
        <v>19</v>
      </c>
      <c r="D219" s="4">
        <v>45322</v>
      </c>
      <c r="E219" s="4">
        <v>47149</v>
      </c>
      <c r="F219" s="3">
        <v>1000</v>
      </c>
      <c r="G219" s="3" t="s">
        <v>20</v>
      </c>
      <c r="H219" s="3">
        <v>870</v>
      </c>
      <c r="I219" s="3" t="s">
        <v>20</v>
      </c>
      <c r="J219" s="3">
        <v>87</v>
      </c>
      <c r="K219" s="3">
        <v>50</v>
      </c>
      <c r="L219" s="5">
        <v>8.5999999999999993E-2</v>
      </c>
      <c r="M219" s="3" t="s">
        <v>21</v>
      </c>
      <c r="N219" s="3">
        <v>1232</v>
      </c>
      <c r="O219" s="6">
        <f>Table1[[#This Row],[Current coupon %]]*Table1[[#This Row],[Face value]]/Table1[[#This Row],[Ask Price]]</f>
        <v>9.8850574712643677E-2</v>
      </c>
      <c r="P219" s="3"/>
      <c r="Q219" s="3" t="s">
        <v>22</v>
      </c>
      <c r="R219">
        <f t="shared" si="3"/>
        <v>5</v>
      </c>
      <c r="S219" s="22" cm="1">
        <f t="array" ref="S219">_xlfn.IFS(Table1[[#This Row],[Coupon frequency]]="Semi-annual",2,Table1[[#This Row],[Coupon frequency]]="Quarterly",4,Table1[[#This Row],[Coupon frequency]]="Annual",1,Table1[[#This Row],[Coupon frequency]]="Every 4 months",3,Table1[[#This Row],[Coupon frequency]]="Monthly",12)</f>
        <v>1</v>
      </c>
      <c r="T219">
        <f>Table1[[#This Row],[Term to Maturity (Years)]]*Table1[[#This Row],[Coupon Frequency2]]</f>
        <v>5</v>
      </c>
      <c r="U219">
        <f>Table1[[#This Row],[Face value]]*Table1[[#This Row],[Current coupon %]]/Table1[[#This Row],[Coupon Frequency2]]</f>
        <v>86</v>
      </c>
      <c r="V219" s="23">
        <f>RATE(Table1[[#This Row],[Total No. of Coupons]],Table1[[#This Row],[Coupon Amount]],-Table1[[#This Row],[Ask Price]],Table1[[#This Row],[Face value]])</f>
        <v>0.12226592071704523</v>
      </c>
      <c r="W219" s="24">
        <f>Table1[[#This Row],[IRR]]*Table1[[#This Row],[Coupon Frequency2]]</f>
        <v>0.12226592071704523</v>
      </c>
      <c r="X219" s="25" cm="1">
        <f t="array" ref="X2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19" s="26">
        <f>DURATION(Table1[[#This Row],[Issue date]],Table1[[#This Row],[Maturity date]],Table1[[#This Row],[Current coupon %]],Table1[[#This Row],[Yield (Annualised)]],Table1[[#This Row],[Coupon Frequency2]])</f>
        <v>4.2100348721016205</v>
      </c>
      <c r="Z219" s="26">
        <f>Table1[[#This Row],[Macaulay Duration in Years]]/(1+Table1[[#This Row],[IRR]])</f>
        <v>3.7513701471142578</v>
      </c>
      <c r="AA219" s="27">
        <f>VLOOKUP(Table1[[#This Row],[Yield Cluster]],'[1]Cluster Details'!$B$3:$C$16,2,0)</f>
        <v>0.11069942689191503</v>
      </c>
      <c r="AB219" s="28">
        <f>PRICE(Table1[[#This Row],[Issue date]],Table1[[#This Row],[Maturity date]],Table1[[#This Row],[Current coupon %]],Table1[[#This Row],[Average Cluster Yield]],100,Table1[[#This Row],[Coupon Frequency2]])*Table1[[#This Row],[Face value]]/100</f>
        <v>908.87384784199594</v>
      </c>
      <c r="AC219" s="27" t="str">
        <f>IF(Table1[[#This Row],[Ask Price]]&gt;Table1[[#This Row],[Calculated Bond Price]],"Rich","Cheap")</f>
        <v>Cheap</v>
      </c>
      <c r="AD219" s="28">
        <f>PRICE(Table1[[#This Row],[Issue date]],Table1[[#This Row],[Maturity date]],Table1[[#This Row],[Current coupon %]],Table1[[#This Row],[Yield (Annualised)]]+$AE$2,100,Table1[[#This Row],[Coupon Frequency2]])*Table1[[#This Row],[Face value]]/100</f>
        <v>838.16771808113288</v>
      </c>
      <c r="AE219" s="28">
        <f>PRICE(Table1[[#This Row],[Issue date]],Table1[[#This Row],[Maturity date]],Table1[[#This Row],[Current coupon %]],Table1[[#This Row],[Yield (Annualised)]]-$AE$2,100,Table1[[#This Row],[Coupon Frequency2]])*Table1[[#This Row],[Face value]]/100</f>
        <v>903.47466859283475</v>
      </c>
      <c r="AF219" s="28">
        <f>(Table1[[#This Row],[P (+ shock)]]+Table1[[#This Row],[P (-shock)]]-2*Table1[[#This Row],[Ask Price]])/(2*Table1[[#This Row],[Ask Price]]*($AE$2^2))</f>
        <v>9.4390038733771338</v>
      </c>
    </row>
    <row r="220" spans="1:32" x14ac:dyDescent="0.25">
      <c r="A220" s="21" t="s">
        <v>504</v>
      </c>
      <c r="B220" s="3" t="s">
        <v>505</v>
      </c>
      <c r="C220" s="3" t="s">
        <v>19</v>
      </c>
      <c r="D220" s="4">
        <v>44854</v>
      </c>
      <c r="E220" s="4">
        <v>48507</v>
      </c>
      <c r="F220" s="3">
        <v>1000</v>
      </c>
      <c r="G220" s="3" t="s">
        <v>20</v>
      </c>
      <c r="H220" s="3">
        <v>1022</v>
      </c>
      <c r="I220" s="3" t="s">
        <v>20</v>
      </c>
      <c r="J220" s="3">
        <v>102.2</v>
      </c>
      <c r="K220" s="3">
        <v>100</v>
      </c>
      <c r="L220" s="5">
        <v>0.10099999999999999</v>
      </c>
      <c r="M220" s="3" t="s">
        <v>21</v>
      </c>
      <c r="N220" s="3">
        <v>2590</v>
      </c>
      <c r="O220" s="6">
        <f>Table1[[#This Row],[Current coupon %]]*Table1[[#This Row],[Face value]]/Table1[[#This Row],[Ask Price]]</f>
        <v>9.8825831702544012E-2</v>
      </c>
      <c r="P220" s="3"/>
      <c r="Q220" s="3" t="s">
        <v>22</v>
      </c>
      <c r="R220">
        <f t="shared" si="3"/>
        <v>10</v>
      </c>
      <c r="S220" s="22" cm="1">
        <f t="array" ref="S220">_xlfn.IFS(Table1[[#This Row],[Coupon frequency]]="Semi-annual",2,Table1[[#This Row],[Coupon frequency]]="Quarterly",4,Table1[[#This Row],[Coupon frequency]]="Annual",1,Table1[[#This Row],[Coupon frequency]]="Every 4 months",3,Table1[[#This Row],[Coupon frequency]]="Monthly",12)</f>
        <v>1</v>
      </c>
      <c r="T220">
        <f>Table1[[#This Row],[Term to Maturity (Years)]]*Table1[[#This Row],[Coupon Frequency2]]</f>
        <v>10</v>
      </c>
      <c r="U220">
        <f>Table1[[#This Row],[Face value]]*Table1[[#This Row],[Current coupon %]]/Table1[[#This Row],[Coupon Frequency2]]</f>
        <v>100.99999999999999</v>
      </c>
      <c r="V220" s="23">
        <f>RATE(Table1[[#This Row],[Total No. of Coupons]],Table1[[#This Row],[Coupon Amount]],-Table1[[#This Row],[Ask Price]],Table1[[#This Row],[Face value]])</f>
        <v>9.7458597351045603E-2</v>
      </c>
      <c r="W220" s="24">
        <f>Table1[[#This Row],[IRR]]*Table1[[#This Row],[Coupon Frequency2]]</f>
        <v>9.7458597351045603E-2</v>
      </c>
      <c r="X220" s="25" cm="1">
        <f t="array" ref="X2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0" s="26">
        <f>DURATION(Table1[[#This Row],[Issue date]],Table1[[#This Row],[Maturity date]],Table1[[#This Row],[Current coupon %]],Table1[[#This Row],[Yield (Annualised)]],Table1[[#This Row],[Coupon Frequency2]])</f>
        <v>6.7730182054674266</v>
      </c>
      <c r="Z220" s="26">
        <f>Table1[[#This Row],[Macaulay Duration in Years]]/(1+Table1[[#This Row],[IRR]])</f>
        <v>6.171547812205012</v>
      </c>
      <c r="AA220" s="27">
        <f>VLOOKUP(Table1[[#This Row],[Yield Cluster]],'[1]Cluster Details'!$B$3:$C$16,2,0)</f>
        <v>7.8548801574189142E-2</v>
      </c>
      <c r="AB220" s="28">
        <f>PRICE(Table1[[#This Row],[Issue date]],Table1[[#This Row],[Maturity date]],Table1[[#This Row],[Current coupon %]],Table1[[#This Row],[Average Cluster Yield]],100,Table1[[#This Row],[Coupon Frequency2]])*Table1[[#This Row],[Face value]]/100</f>
        <v>1151.6404587807299</v>
      </c>
      <c r="AC220" s="27" t="str">
        <f>IF(Table1[[#This Row],[Ask Price]]&gt;Table1[[#This Row],[Calculated Bond Price]],"Rich","Cheap")</f>
        <v>Cheap</v>
      </c>
      <c r="AD220" s="28">
        <f>PRICE(Table1[[#This Row],[Issue date]],Table1[[#This Row],[Maturity date]],Table1[[#This Row],[Current coupon %]],Table1[[#This Row],[Yield (Annualised)]]+$AE$2,100,Table1[[#This Row],[Coupon Frequency2]])*Table1[[#This Row],[Face value]]/100</f>
        <v>961.55506116164452</v>
      </c>
      <c r="AE220" s="28">
        <f>PRICE(Table1[[#This Row],[Issue date]],Table1[[#This Row],[Maturity date]],Table1[[#This Row],[Current coupon %]],Table1[[#This Row],[Yield (Annualised)]]-$AE$2,100,Table1[[#This Row],[Coupon Frequency2]])*Table1[[#This Row],[Face value]]/100</f>
        <v>1087.8847316968554</v>
      </c>
      <c r="AF220" s="28">
        <f>(Table1[[#This Row],[P (+ shock)]]+Table1[[#This Row],[P (-shock)]]-2*Table1[[#This Row],[Ask Price]])/(2*Table1[[#This Row],[Ask Price]]*($AE$2^2))</f>
        <v>26.613467996574919</v>
      </c>
    </row>
    <row r="221" spans="1:32" x14ac:dyDescent="0.25">
      <c r="A221" s="21" t="s">
        <v>506</v>
      </c>
      <c r="B221" s="3" t="s">
        <v>507</v>
      </c>
      <c r="C221" s="3" t="s">
        <v>19</v>
      </c>
      <c r="D221" s="4">
        <v>45239</v>
      </c>
      <c r="E221" s="4">
        <v>46335</v>
      </c>
      <c r="F221" s="3">
        <v>1000</v>
      </c>
      <c r="G221" s="3" t="s">
        <v>20</v>
      </c>
      <c r="H221" s="3">
        <v>1002.42</v>
      </c>
      <c r="I221" s="3" t="s">
        <v>20</v>
      </c>
      <c r="J221" s="3">
        <v>100.241999999999</v>
      </c>
      <c r="K221" s="3">
        <v>7</v>
      </c>
      <c r="L221" s="5">
        <v>9.9000000000000005E-2</v>
      </c>
      <c r="M221" s="3" t="s">
        <v>21</v>
      </c>
      <c r="N221" s="3">
        <v>418</v>
      </c>
      <c r="O221" s="6">
        <f>Table1[[#This Row],[Current coupon %]]*Table1[[#This Row],[Face value]]/Table1[[#This Row],[Ask Price]]</f>
        <v>9.8760998383910933E-2</v>
      </c>
      <c r="P221" s="3" t="s">
        <v>25</v>
      </c>
      <c r="Q221" s="3" t="s">
        <v>22</v>
      </c>
      <c r="R221">
        <f t="shared" si="3"/>
        <v>3</v>
      </c>
      <c r="S221" s="22" cm="1">
        <f t="array" ref="S221">_xlfn.IFS(Table1[[#This Row],[Coupon frequency]]="Semi-annual",2,Table1[[#This Row],[Coupon frequency]]="Quarterly",4,Table1[[#This Row],[Coupon frequency]]="Annual",1,Table1[[#This Row],[Coupon frequency]]="Every 4 months",3,Table1[[#This Row],[Coupon frequency]]="Monthly",12)</f>
        <v>1</v>
      </c>
      <c r="T221">
        <f>Table1[[#This Row],[Term to Maturity (Years)]]*Table1[[#This Row],[Coupon Frequency2]]</f>
        <v>3</v>
      </c>
      <c r="U221">
        <f>Table1[[#This Row],[Face value]]*Table1[[#This Row],[Current coupon %]]/Table1[[#This Row],[Coupon Frequency2]]</f>
        <v>99</v>
      </c>
      <c r="V221" s="23">
        <f>RATE(Table1[[#This Row],[Total No. of Coupons]],Table1[[#This Row],[Coupon Amount]],-Table1[[#This Row],[Ask Price]],Table1[[#This Row],[Face value]])</f>
        <v>9.803025490548338E-2</v>
      </c>
      <c r="W221" s="24">
        <f>Table1[[#This Row],[IRR]]*Table1[[#This Row],[Coupon Frequency2]]</f>
        <v>9.803025490548338E-2</v>
      </c>
      <c r="X221" s="25" cm="1">
        <f t="array" ref="X2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1" s="26">
        <f>DURATION(Table1[[#This Row],[Issue date]],Table1[[#This Row],[Maturity date]],Table1[[#This Row],[Current coupon %]],Table1[[#This Row],[Yield (Annualised)]],Table1[[#This Row],[Coupon Frequency2]])</f>
        <v>2.7381986683987005</v>
      </c>
      <c r="Z221" s="26">
        <f>Table1[[#This Row],[Macaulay Duration in Years]]/(1+Table1[[#This Row],[IRR]])</f>
        <v>2.4937369951016515</v>
      </c>
      <c r="AA221" s="27">
        <f>VLOOKUP(Table1[[#This Row],[Yield Cluster]],'[1]Cluster Details'!$B$3:$C$16,2,0)</f>
        <v>7.8548801574189142E-2</v>
      </c>
      <c r="AB221" s="28">
        <f>PRICE(Table1[[#This Row],[Issue date]],Table1[[#This Row],[Maturity date]],Table1[[#This Row],[Current coupon %]],Table1[[#This Row],[Average Cluster Yield]],100,Table1[[#This Row],[Coupon Frequency2]])*Table1[[#This Row],[Face value]]/100</f>
        <v>1052.8430364273456</v>
      </c>
      <c r="AC221" s="27" t="str">
        <f>IF(Table1[[#This Row],[Ask Price]]&gt;Table1[[#This Row],[Calculated Bond Price]],"Rich","Cheap")</f>
        <v>Cheap</v>
      </c>
      <c r="AD221" s="28">
        <f>PRICE(Table1[[#This Row],[Issue date]],Table1[[#This Row],[Maturity date]],Table1[[#This Row],[Current coupon %]],Table1[[#This Row],[Yield (Annualised)]]+$AE$2,100,Table1[[#This Row],[Coupon Frequency2]])*Table1[[#This Row],[Face value]]/100</f>
        <v>977.85681346159777</v>
      </c>
      <c r="AE221" s="28">
        <f>PRICE(Table1[[#This Row],[Issue date]],Table1[[#This Row],[Maturity date]],Table1[[#This Row],[Current coupon %]],Table1[[#This Row],[Yield (Annualised)]]-$AE$2,100,Table1[[#This Row],[Coupon Frequency2]])*Table1[[#This Row],[Face value]]/100</f>
        <v>1027.8654261775782</v>
      </c>
      <c r="AF221" s="28">
        <f>(Table1[[#This Row],[P (+ shock)]]+Table1[[#This Row],[P (-shock)]]-2*Table1[[#This Row],[Ask Price]])/(2*Table1[[#This Row],[Ask Price]]*($AE$2^2))</f>
        <v>4.4005488676207456</v>
      </c>
    </row>
    <row r="222" spans="1:32" x14ac:dyDescent="0.25">
      <c r="A222" s="21" t="s">
        <v>508</v>
      </c>
      <c r="B222" s="3" t="s">
        <v>509</v>
      </c>
      <c r="C222" s="3" t="s">
        <v>19</v>
      </c>
      <c r="D222" s="4">
        <v>42570</v>
      </c>
      <c r="E222" s="4">
        <v>46222</v>
      </c>
      <c r="F222" s="3">
        <v>1000</v>
      </c>
      <c r="G222" s="3" t="s">
        <v>20</v>
      </c>
      <c r="H222" s="3">
        <v>1012.9</v>
      </c>
      <c r="I222" s="3" t="s">
        <v>20</v>
      </c>
      <c r="J222" s="3">
        <v>101.289999999999</v>
      </c>
      <c r="K222" s="3">
        <v>45</v>
      </c>
      <c r="L222" s="5">
        <v>0.1</v>
      </c>
      <c r="M222" s="3" t="s">
        <v>21</v>
      </c>
      <c r="N222" s="3">
        <v>305</v>
      </c>
      <c r="O222" s="6">
        <f>Table1[[#This Row],[Current coupon %]]*Table1[[#This Row],[Face value]]/Table1[[#This Row],[Ask Price]]</f>
        <v>9.8726429065060725E-2</v>
      </c>
      <c r="P222" s="3"/>
      <c r="Q222" s="3" t="s">
        <v>22</v>
      </c>
      <c r="R222">
        <f t="shared" si="3"/>
        <v>10</v>
      </c>
      <c r="S222" s="22" cm="1">
        <f t="array" ref="S222">_xlfn.IFS(Table1[[#This Row],[Coupon frequency]]="Semi-annual",2,Table1[[#This Row],[Coupon frequency]]="Quarterly",4,Table1[[#This Row],[Coupon frequency]]="Annual",1,Table1[[#This Row],[Coupon frequency]]="Every 4 months",3,Table1[[#This Row],[Coupon frequency]]="Monthly",12)</f>
        <v>1</v>
      </c>
      <c r="T222">
        <f>Table1[[#This Row],[Term to Maturity (Years)]]*Table1[[#This Row],[Coupon Frequency2]]</f>
        <v>10</v>
      </c>
      <c r="U222">
        <f>Table1[[#This Row],[Face value]]*Table1[[#This Row],[Current coupon %]]/Table1[[#This Row],[Coupon Frequency2]]</f>
        <v>100</v>
      </c>
      <c r="V222" s="23">
        <f>RATE(Table1[[#This Row],[Total No. of Coupons]],Table1[[#This Row],[Coupon Amount]],-Table1[[#This Row],[Ask Price]],Table1[[#This Row],[Face value]])</f>
        <v>9.7919313170144046E-2</v>
      </c>
      <c r="W222" s="24">
        <f>Table1[[#This Row],[IRR]]*Table1[[#This Row],[Coupon Frequency2]]</f>
        <v>9.7919313170144046E-2</v>
      </c>
      <c r="X222" s="25" cm="1">
        <f t="array" ref="X2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2" s="26">
        <f>DURATION(Table1[[#This Row],[Issue date]],Table1[[#This Row],[Maturity date]],Table1[[#This Row],[Current coupon %]],Table1[[#This Row],[Yield (Annualised)]],Table1[[#This Row],[Coupon Frequency2]])</f>
        <v>6.7806442959639943</v>
      </c>
      <c r="Z222" s="26">
        <f>Table1[[#This Row],[Macaulay Duration in Years]]/(1+Table1[[#This Row],[IRR]])</f>
        <v>6.175904016466828</v>
      </c>
      <c r="AA222" s="27">
        <f>VLOOKUP(Table1[[#This Row],[Yield Cluster]],'[1]Cluster Details'!$B$3:$C$16,2,0)</f>
        <v>7.8548801574189142E-2</v>
      </c>
      <c r="AB222" s="28">
        <f>PRICE(Table1[[#This Row],[Issue date]],Table1[[#This Row],[Maturity date]],Table1[[#This Row],[Current coupon %]],Table1[[#This Row],[Average Cluster Yield]],100,Table1[[#This Row],[Coupon Frequency2]])*Table1[[#This Row],[Face value]]/100</f>
        <v>1144.8862331975467</v>
      </c>
      <c r="AC222" s="27" t="str">
        <f>IF(Table1[[#This Row],[Ask Price]]&gt;Table1[[#This Row],[Calculated Bond Price]],"Rich","Cheap")</f>
        <v>Cheap</v>
      </c>
      <c r="AD222" s="28">
        <f>PRICE(Table1[[#This Row],[Issue date]],Table1[[#This Row],[Maturity date]],Table1[[#This Row],[Current coupon %]],Table1[[#This Row],[Yield (Annualised)]]+$AE$2,100,Table1[[#This Row],[Coupon Frequency2]])*Table1[[#This Row],[Face value]]/100</f>
        <v>952.9516074020321</v>
      </c>
      <c r="AE222" s="28">
        <f>PRICE(Table1[[#This Row],[Issue date]],Table1[[#This Row],[Maturity date]],Table1[[#This Row],[Current coupon %]],Table1[[#This Row],[Yield (Annualised)]]-$AE$2,100,Table1[[#This Row],[Coupon Frequency2]])*Table1[[#This Row],[Face value]]/100</f>
        <v>1078.2448429528699</v>
      </c>
      <c r="AF222" s="28">
        <f>(Table1[[#This Row],[P (+ shock)]]+Table1[[#This Row],[P (-shock)]]-2*Table1[[#This Row],[Ask Price]])/(2*Table1[[#This Row],[Ask Price]]*($AE$2^2))</f>
        <v>26.638613658318054</v>
      </c>
    </row>
    <row r="223" spans="1:32" x14ac:dyDescent="0.25">
      <c r="A223" s="21" t="s">
        <v>510</v>
      </c>
      <c r="B223" s="3" t="s">
        <v>511</v>
      </c>
      <c r="C223" s="3" t="s">
        <v>19</v>
      </c>
      <c r="D223" s="4">
        <v>45362</v>
      </c>
      <c r="E223" s="4">
        <v>46092</v>
      </c>
      <c r="F223" s="3">
        <v>100000</v>
      </c>
      <c r="G223" s="3" t="s">
        <v>20</v>
      </c>
      <c r="H223" s="3">
        <v>100404.04</v>
      </c>
      <c r="I223" s="3" t="s">
        <v>20</v>
      </c>
      <c r="J223" s="3">
        <v>100.404039999999</v>
      </c>
      <c r="K223" s="3">
        <v>1</v>
      </c>
      <c r="L223" s="5">
        <v>9.9000000000000005E-2</v>
      </c>
      <c r="M223" s="3" t="s">
        <v>44</v>
      </c>
      <c r="N223" s="3">
        <v>175</v>
      </c>
      <c r="O223" s="6">
        <f>Table1[[#This Row],[Current coupon %]]*Table1[[#This Row],[Face value]]/Table1[[#This Row],[Ask Price]]</f>
        <v>9.8601610054734862E-2</v>
      </c>
      <c r="P223" s="3"/>
      <c r="Q223" s="3" t="s">
        <v>22</v>
      </c>
      <c r="R223">
        <f t="shared" si="3"/>
        <v>2</v>
      </c>
      <c r="S223" s="22" cm="1">
        <f t="array" ref="S223">_xlfn.IFS(Table1[[#This Row],[Coupon frequency]]="Semi-annual",2,Table1[[#This Row],[Coupon frequency]]="Quarterly",4,Table1[[#This Row],[Coupon frequency]]="Annual",1,Table1[[#This Row],[Coupon frequency]]="Every 4 months",3,Table1[[#This Row],[Coupon frequency]]="Monthly",12)</f>
        <v>4</v>
      </c>
      <c r="T223">
        <f>Table1[[#This Row],[Term to Maturity (Years)]]*Table1[[#This Row],[Coupon Frequency2]]</f>
        <v>8</v>
      </c>
      <c r="U223">
        <f>Table1[[#This Row],[Face value]]*Table1[[#This Row],[Current coupon %]]/Table1[[#This Row],[Coupon Frequency2]]</f>
        <v>2475</v>
      </c>
      <c r="V223" s="23">
        <f>RATE(Table1[[#This Row],[Total No. of Coupons]],Table1[[#This Row],[Coupon Amount]],-Table1[[#This Row],[Ask Price]],Table1[[#This Row],[Face value]])</f>
        <v>2.4188444381578082E-2</v>
      </c>
      <c r="W223" s="24">
        <f>Table1[[#This Row],[IRR]]*Table1[[#This Row],[Coupon Frequency2]]</f>
        <v>9.6753777526312326E-2</v>
      </c>
      <c r="X223" s="25" cm="1">
        <f t="array" ref="X2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3" s="26">
        <f>DURATION(Table1[[#This Row],[Issue date]],Table1[[#This Row],[Maturity date]],Table1[[#This Row],[Current coupon %]],Table1[[#This Row],[Yield (Annualised)]],Table1[[#This Row],[Coupon Frequency2]])</f>
        <v>1.839249782759155</v>
      </c>
      <c r="Z223" s="26">
        <f>Table1[[#This Row],[Macaulay Duration in Years]]/(1+Table1[[#This Row],[IRR]])</f>
        <v>1.79581188681515</v>
      </c>
      <c r="AA223" s="27">
        <f>VLOOKUP(Table1[[#This Row],[Yield Cluster]],'[1]Cluster Details'!$B$3:$C$16,2,0)</f>
        <v>7.8548801574189142E-2</v>
      </c>
      <c r="AB223" s="28">
        <f>PRICE(Table1[[#This Row],[Issue date]],Table1[[#This Row],[Maturity date]],Table1[[#This Row],[Current coupon %]],Table1[[#This Row],[Average Cluster Yield]],100,Table1[[#This Row],[Coupon Frequency2]])*Table1[[#This Row],[Face value]]/100</f>
        <v>103751.2350839648</v>
      </c>
      <c r="AC223" s="27" t="str">
        <f>IF(Table1[[#This Row],[Ask Price]]&gt;Table1[[#This Row],[Calculated Bond Price]],"Rich","Cheap")</f>
        <v>Cheap</v>
      </c>
      <c r="AD223" s="28">
        <f>PRICE(Table1[[#This Row],[Issue date]],Table1[[#This Row],[Maturity date]],Table1[[#This Row],[Current coupon %]],Table1[[#This Row],[Yield (Annualised)]]+$AE$2,100,Table1[[#This Row],[Coupon Frequency2]])*Table1[[#This Row],[Face value]]/100</f>
        <v>98620.061104905937</v>
      </c>
      <c r="AE223" s="28">
        <f>PRICE(Table1[[#This Row],[Issue date]],Table1[[#This Row],[Maturity date]],Table1[[#This Row],[Current coupon %]],Table1[[#This Row],[Yield (Annualised)]]-$AE$2,100,Table1[[#This Row],[Coupon Frequency2]])*Table1[[#This Row],[Face value]]/100</f>
        <v>102226.50509616639</v>
      </c>
      <c r="AF223" s="28">
        <f>(Table1[[#This Row],[P (+ shock)]]+Table1[[#This Row],[P (-shock)]]-2*Table1[[#This Row],[Ask Price]])/(2*Table1[[#This Row],[Ask Price]]*($AE$2^2))</f>
        <v>1.9165663589007251</v>
      </c>
    </row>
    <row r="224" spans="1:32" x14ac:dyDescent="0.25">
      <c r="A224" s="21" t="s">
        <v>512</v>
      </c>
      <c r="B224" s="3" t="s">
        <v>513</v>
      </c>
      <c r="C224" s="3" t="s">
        <v>19</v>
      </c>
      <c r="D224" s="4">
        <v>45609</v>
      </c>
      <c r="E224" s="4">
        <v>46461</v>
      </c>
      <c r="F224" s="3">
        <v>100000</v>
      </c>
      <c r="G224" s="3" t="s">
        <v>20</v>
      </c>
      <c r="H224" s="3">
        <v>100439.58</v>
      </c>
      <c r="I224" s="3" t="s">
        <v>20</v>
      </c>
      <c r="J224" s="3">
        <v>100.439579999999</v>
      </c>
      <c r="K224" s="3">
        <v>1</v>
      </c>
      <c r="L224" s="5">
        <v>9.9000000000000005E-2</v>
      </c>
      <c r="M224" s="3" t="s">
        <v>53</v>
      </c>
      <c r="N224" s="3">
        <v>544</v>
      </c>
      <c r="O224" s="6">
        <f>Table1[[#This Row],[Current coupon %]]*Table1[[#This Row],[Face value]]/Table1[[#This Row],[Ask Price]]</f>
        <v>9.8566720410419875E-2</v>
      </c>
      <c r="P224" s="3"/>
      <c r="Q224" s="3" t="s">
        <v>22</v>
      </c>
      <c r="R224">
        <f t="shared" si="3"/>
        <v>2</v>
      </c>
      <c r="S224" s="22" cm="1">
        <f t="array" ref="S224">_xlfn.IFS(Table1[[#This Row],[Coupon frequency]]="Semi-annual",2,Table1[[#This Row],[Coupon frequency]]="Quarterly",4,Table1[[#This Row],[Coupon frequency]]="Annual",1,Table1[[#This Row],[Coupon frequency]]="Every 4 months",3,Table1[[#This Row],[Coupon frequency]]="Monthly",12)</f>
        <v>2</v>
      </c>
      <c r="T224">
        <f>Table1[[#This Row],[Term to Maturity (Years)]]*Table1[[#This Row],[Coupon Frequency2]]</f>
        <v>4</v>
      </c>
      <c r="U224">
        <f>Table1[[#This Row],[Face value]]*Table1[[#This Row],[Current coupon %]]/Table1[[#This Row],[Coupon Frequency2]]</f>
        <v>4950</v>
      </c>
      <c r="V224" s="23">
        <f>RATE(Table1[[#This Row],[Total No. of Coupons]],Table1[[#This Row],[Coupon Amount]],-Table1[[#This Row],[Ask Price]],Table1[[#This Row],[Face value]])</f>
        <v>4.8265323787541246E-2</v>
      </c>
      <c r="W224" s="24">
        <f>Table1[[#This Row],[IRR]]*Table1[[#This Row],[Coupon Frequency2]]</f>
        <v>9.6530647575082493E-2</v>
      </c>
      <c r="X224" s="25" cm="1">
        <f t="array" ref="X2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4" s="26">
        <f>DURATION(Table1[[#This Row],[Issue date]],Table1[[#This Row],[Maturity date]],Table1[[#This Row],[Current coupon %]],Table1[[#This Row],[Yield (Annualised)]],Table1[[#This Row],[Coupon Frequency2]])</f>
        <v>2.1146121846312464</v>
      </c>
      <c r="Z224" s="26">
        <f>Table1[[#This Row],[Macaulay Duration in Years]]/(1+Table1[[#This Row],[IRR]])</f>
        <v>2.0172490080954244</v>
      </c>
      <c r="AA224" s="27">
        <f>VLOOKUP(Table1[[#This Row],[Yield Cluster]],'[1]Cluster Details'!$B$3:$C$16,2,0)</f>
        <v>7.8548801574189142E-2</v>
      </c>
      <c r="AB224" s="28">
        <f>PRICE(Table1[[#This Row],[Issue date]],Table1[[#This Row],[Maturity date]],Table1[[#This Row],[Current coupon %]],Table1[[#This Row],[Average Cluster Yield]],100,Table1[[#This Row],[Coupon Frequency2]])*Table1[[#This Row],[Face value]]/100</f>
        <v>104272.54966254211</v>
      </c>
      <c r="AC224" s="27" t="str">
        <f>IF(Table1[[#This Row],[Ask Price]]&gt;Table1[[#This Row],[Calculated Bond Price]],"Rich","Cheap")</f>
        <v>Cheap</v>
      </c>
      <c r="AD224" s="28">
        <f>PRICE(Table1[[#This Row],[Issue date]],Table1[[#This Row],[Maturity date]],Table1[[#This Row],[Current coupon %]],Table1[[#This Row],[Yield (Annualised)]]+$AE$2,100,Table1[[#This Row],[Coupon Frequency2]])*Table1[[#This Row],[Face value]]/100</f>
        <v>98448.416540437553</v>
      </c>
      <c r="AE224" s="28">
        <f>PRICE(Table1[[#This Row],[Issue date]],Table1[[#This Row],[Maturity date]],Table1[[#This Row],[Current coupon %]],Table1[[#This Row],[Yield (Annualised)]]-$AE$2,100,Table1[[#This Row],[Coupon Frequency2]])*Table1[[#This Row],[Face value]]/100</f>
        <v>102567.22747922398</v>
      </c>
      <c r="AF224" s="28">
        <f>(Table1[[#This Row],[P (+ shock)]]+Table1[[#This Row],[P (-shock)]]-2*Table1[[#This Row],[Ask Price]])/(2*Table1[[#This Row],[Ask Price]]*($AE$2^2))</f>
        <v>6.7943344477110497</v>
      </c>
    </row>
    <row r="225" spans="1:32" x14ac:dyDescent="0.25">
      <c r="A225" s="21" t="s">
        <v>514</v>
      </c>
      <c r="B225" s="3" t="s">
        <v>515</v>
      </c>
      <c r="C225" s="3" t="s">
        <v>19</v>
      </c>
      <c r="D225" s="4">
        <v>44558</v>
      </c>
      <c r="E225" s="4">
        <v>48210</v>
      </c>
      <c r="F225" s="3">
        <v>1000</v>
      </c>
      <c r="G225" s="3" t="s">
        <v>20</v>
      </c>
      <c r="H225" s="3">
        <v>984.22</v>
      </c>
      <c r="I225" s="3" t="s">
        <v>20</v>
      </c>
      <c r="J225" s="3">
        <v>98.421999999999997</v>
      </c>
      <c r="K225" s="3">
        <v>260</v>
      </c>
      <c r="L225" s="5">
        <v>9.6999999999999989E-2</v>
      </c>
      <c r="M225" s="3" t="s">
        <v>21</v>
      </c>
      <c r="N225" s="3">
        <v>2293</v>
      </c>
      <c r="O225" s="6">
        <f>Table1[[#This Row],[Current coupon %]]*Table1[[#This Row],[Face value]]/Table1[[#This Row],[Ask Price]]</f>
        <v>9.8555201072930837E-2</v>
      </c>
      <c r="P225" s="3"/>
      <c r="Q225" s="3" t="s">
        <v>22</v>
      </c>
      <c r="R225">
        <f t="shared" si="3"/>
        <v>10</v>
      </c>
      <c r="S225" s="22" cm="1">
        <f t="array" ref="S225">_xlfn.IFS(Table1[[#This Row],[Coupon frequency]]="Semi-annual",2,Table1[[#This Row],[Coupon frequency]]="Quarterly",4,Table1[[#This Row],[Coupon frequency]]="Annual",1,Table1[[#This Row],[Coupon frequency]]="Every 4 months",3,Table1[[#This Row],[Coupon frequency]]="Monthly",12)</f>
        <v>1</v>
      </c>
      <c r="T225">
        <f>Table1[[#This Row],[Term to Maturity (Years)]]*Table1[[#This Row],[Coupon Frequency2]]</f>
        <v>10</v>
      </c>
      <c r="U225">
        <f>Table1[[#This Row],[Face value]]*Table1[[#This Row],[Current coupon %]]/Table1[[#This Row],[Coupon Frequency2]]</f>
        <v>96.999999999999986</v>
      </c>
      <c r="V225" s="23">
        <f>RATE(Table1[[#This Row],[Total No. of Coupons]],Table1[[#This Row],[Coupon Amount]],-Table1[[#This Row],[Ask Price]],Table1[[#This Row],[Face value]])</f>
        <v>9.9563306554157335E-2</v>
      </c>
      <c r="W225" s="24">
        <f>Table1[[#This Row],[IRR]]*Table1[[#This Row],[Coupon Frequency2]]</f>
        <v>9.9563306554157335E-2</v>
      </c>
      <c r="X225" s="25" cm="1">
        <f t="array" ref="X2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5" s="26">
        <f>DURATION(Table1[[#This Row],[Issue date]],Table1[[#This Row],[Maturity date]],Table1[[#This Row],[Current coupon %]],Table1[[#This Row],[Yield (Annualised)]],Table1[[#This Row],[Coupon Frequency2]])</f>
        <v>6.8017483150495037</v>
      </c>
      <c r="Z225" s="26">
        <f>Table1[[#This Row],[Macaulay Duration in Years]]/(1+Table1[[#This Row],[IRR]])</f>
        <v>6.1858633100126053</v>
      </c>
      <c r="AA225" s="27">
        <f>VLOOKUP(Table1[[#This Row],[Yield Cluster]],'[1]Cluster Details'!$B$3:$C$16,2,0)</f>
        <v>7.8548801574189142E-2</v>
      </c>
      <c r="AB225" s="28">
        <f>PRICE(Table1[[#This Row],[Issue date]],Table1[[#This Row],[Maturity date]],Table1[[#This Row],[Current coupon %]],Table1[[#This Row],[Average Cluster Yield]],100,Table1[[#This Row],[Coupon Frequency2]])*Table1[[#This Row],[Face value]]/100</f>
        <v>1124.6235564479978</v>
      </c>
      <c r="AC225" s="27" t="str">
        <f>IF(Table1[[#This Row],[Ask Price]]&gt;Table1[[#This Row],[Calculated Bond Price]],"Rich","Cheap")</f>
        <v>Cheap</v>
      </c>
      <c r="AD225" s="28">
        <f>PRICE(Table1[[#This Row],[Issue date]],Table1[[#This Row],[Maturity date]],Table1[[#This Row],[Current coupon %]],Table1[[#This Row],[Yield (Annualised)]]+$AE$2,100,Table1[[#This Row],[Coupon Frequency2]])*Table1[[#This Row],[Face value]]/100</f>
        <v>925.87609523197864</v>
      </c>
      <c r="AE225" s="28">
        <f>PRICE(Table1[[#This Row],[Issue date]],Table1[[#This Row],[Maturity date]],Table1[[#This Row],[Current coupon %]],Table1[[#This Row],[Yield (Annualised)]]-$AE$2,100,Table1[[#This Row],[Coupon Frequency2]])*Table1[[#This Row],[Face value]]/100</f>
        <v>1047.8180274005169</v>
      </c>
      <c r="AF225" s="28">
        <f>(Table1[[#This Row],[P (+ shock)]]+Table1[[#This Row],[P (-shock)]]-2*Table1[[#This Row],[Ask Price]])/(2*Table1[[#This Row],[Ask Price]]*($AE$2^2))</f>
        <v>26.691809923064135</v>
      </c>
    </row>
    <row r="226" spans="1:32" x14ac:dyDescent="0.25">
      <c r="A226" s="21" t="s">
        <v>516</v>
      </c>
      <c r="B226" s="3" t="s">
        <v>517</v>
      </c>
      <c r="C226" s="3" t="s">
        <v>19</v>
      </c>
      <c r="D226" s="4">
        <v>45287</v>
      </c>
      <c r="E226" s="4">
        <v>47114</v>
      </c>
      <c r="F226" s="3">
        <v>1000</v>
      </c>
      <c r="G226" s="3" t="s">
        <v>20</v>
      </c>
      <c r="H226" s="3">
        <v>1030</v>
      </c>
      <c r="I226" s="3" t="s">
        <v>20</v>
      </c>
      <c r="J226" s="3">
        <v>103</v>
      </c>
      <c r="K226" s="3">
        <v>460</v>
      </c>
      <c r="L226" s="5">
        <v>0.10150000000000001</v>
      </c>
      <c r="M226" s="3" t="s">
        <v>21</v>
      </c>
      <c r="N226" s="3">
        <v>1197</v>
      </c>
      <c r="O226" s="6">
        <f>Table1[[#This Row],[Current coupon %]]*Table1[[#This Row],[Face value]]/Table1[[#This Row],[Ask Price]]</f>
        <v>9.8543689320388345E-2</v>
      </c>
      <c r="P226" s="3" t="s">
        <v>25</v>
      </c>
      <c r="Q226" s="3" t="s">
        <v>22</v>
      </c>
      <c r="R226">
        <f t="shared" si="3"/>
        <v>5</v>
      </c>
      <c r="S226" s="22" cm="1">
        <f t="array" ref="S226">_xlfn.IFS(Table1[[#This Row],[Coupon frequency]]="Semi-annual",2,Table1[[#This Row],[Coupon frequency]]="Quarterly",4,Table1[[#This Row],[Coupon frequency]]="Annual",1,Table1[[#This Row],[Coupon frequency]]="Every 4 months",3,Table1[[#This Row],[Coupon frequency]]="Monthly",12)</f>
        <v>1</v>
      </c>
      <c r="T226">
        <f>Table1[[#This Row],[Term to Maturity (Years)]]*Table1[[#This Row],[Coupon Frequency2]]</f>
        <v>5</v>
      </c>
      <c r="U226">
        <f>Table1[[#This Row],[Face value]]*Table1[[#This Row],[Current coupon %]]/Table1[[#This Row],[Coupon Frequency2]]</f>
        <v>101.5</v>
      </c>
      <c r="V226" s="23">
        <f>RATE(Table1[[#This Row],[Total No. of Coupons]],Table1[[#This Row],[Coupon Amount]],-Table1[[#This Row],[Ask Price]],Table1[[#This Row],[Face value]])</f>
        <v>9.3712783119008353E-2</v>
      </c>
      <c r="W226" s="24">
        <f>Table1[[#This Row],[IRR]]*Table1[[#This Row],[Coupon Frequency2]]</f>
        <v>9.3712783119008353E-2</v>
      </c>
      <c r="X226" s="25" cm="1">
        <f t="array" ref="X2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6" s="26">
        <f>DURATION(Table1[[#This Row],[Issue date]],Table1[[#This Row],[Maturity date]],Table1[[#This Row],[Current coupon %]],Table1[[#This Row],[Yield (Annualised)]],Table1[[#This Row],[Coupon Frequency2]])</f>
        <v>4.1729484177456282</v>
      </c>
      <c r="Z226" s="26">
        <f>Table1[[#This Row],[Macaulay Duration in Years]]/(1+Table1[[#This Row],[IRR]])</f>
        <v>3.8153969507838918</v>
      </c>
      <c r="AA226" s="27">
        <f>VLOOKUP(Table1[[#This Row],[Yield Cluster]],'[1]Cluster Details'!$B$3:$C$16,2,0)</f>
        <v>7.8548801574189142E-2</v>
      </c>
      <c r="AB226" s="28">
        <f>PRICE(Table1[[#This Row],[Issue date]],Table1[[#This Row],[Maturity date]],Table1[[#This Row],[Current coupon %]],Table1[[#This Row],[Average Cluster Yield]],100,Table1[[#This Row],[Coupon Frequency2]])*Table1[[#This Row],[Face value]]/100</f>
        <v>1091.9890490892769</v>
      </c>
      <c r="AC226" s="27" t="str">
        <f>IF(Table1[[#This Row],[Ask Price]]&gt;Table1[[#This Row],[Calculated Bond Price]],"Rich","Cheap")</f>
        <v>Cheap</v>
      </c>
      <c r="AD226" s="28">
        <f>PRICE(Table1[[#This Row],[Issue date]],Table1[[#This Row],[Maturity date]],Table1[[#This Row],[Current coupon %]],Table1[[#This Row],[Yield (Annualised)]]+$AE$2,100,Table1[[#This Row],[Coupon Frequency2]])*Table1[[#This Row],[Face value]]/100</f>
        <v>991.69077010727506</v>
      </c>
      <c r="AE226" s="28">
        <f>PRICE(Table1[[#This Row],[Issue date]],Table1[[#This Row],[Maturity date]],Table1[[#This Row],[Current coupon %]],Table1[[#This Row],[Yield (Annualised)]]-$AE$2,100,Table1[[#This Row],[Coupon Frequency2]])*Table1[[#This Row],[Face value]]/100</f>
        <v>1070.3296327436321</v>
      </c>
      <c r="AF226" s="28">
        <f>(Table1[[#This Row],[P (+ shock)]]+Table1[[#This Row],[P (-shock)]]-2*Table1[[#This Row],[Ask Price]])/(2*Table1[[#This Row],[Ask Price]]*($AE$2^2))</f>
        <v>9.8077808296455125</v>
      </c>
    </row>
    <row r="227" spans="1:32" x14ac:dyDescent="0.25">
      <c r="A227" s="21" t="s">
        <v>518</v>
      </c>
      <c r="B227" s="3" t="s">
        <v>519</v>
      </c>
      <c r="C227" s="3" t="s">
        <v>19</v>
      </c>
      <c r="D227" s="4">
        <v>44279</v>
      </c>
      <c r="E227" s="4">
        <v>46928</v>
      </c>
      <c r="F227" s="3">
        <v>1000</v>
      </c>
      <c r="G227" s="3" t="s">
        <v>20</v>
      </c>
      <c r="H227" s="3">
        <v>1015</v>
      </c>
      <c r="I227" s="3" t="s">
        <v>20</v>
      </c>
      <c r="J227" s="3">
        <v>101.49999999999901</v>
      </c>
      <c r="K227" s="3">
        <v>10</v>
      </c>
      <c r="L227" s="5">
        <v>0.1</v>
      </c>
      <c r="M227" s="3" t="s">
        <v>21</v>
      </c>
      <c r="N227" s="3">
        <v>1011</v>
      </c>
      <c r="O227" s="6">
        <f>Table1[[#This Row],[Current coupon %]]*Table1[[#This Row],[Face value]]/Table1[[#This Row],[Ask Price]]</f>
        <v>9.8522167487684734E-2</v>
      </c>
      <c r="P227" s="3" t="s">
        <v>25</v>
      </c>
      <c r="Q227" s="3" t="s">
        <v>22</v>
      </c>
      <c r="R227">
        <f t="shared" si="3"/>
        <v>7</v>
      </c>
      <c r="S227" s="22" cm="1">
        <f t="array" ref="S227">_xlfn.IFS(Table1[[#This Row],[Coupon frequency]]="Semi-annual",2,Table1[[#This Row],[Coupon frequency]]="Quarterly",4,Table1[[#This Row],[Coupon frequency]]="Annual",1,Table1[[#This Row],[Coupon frequency]]="Every 4 months",3,Table1[[#This Row],[Coupon frequency]]="Monthly",12)</f>
        <v>1</v>
      </c>
      <c r="T227">
        <f>Table1[[#This Row],[Term to Maturity (Years)]]*Table1[[#This Row],[Coupon Frequency2]]</f>
        <v>7</v>
      </c>
      <c r="U227">
        <f>Table1[[#This Row],[Face value]]*Table1[[#This Row],[Current coupon %]]/Table1[[#This Row],[Coupon Frequency2]]</f>
        <v>100</v>
      </c>
      <c r="V227" s="23">
        <f>RATE(Table1[[#This Row],[Total No. of Coupons]],Table1[[#This Row],[Coupon Amount]],-Table1[[#This Row],[Ask Price]],Table1[[#This Row],[Face value]])</f>
        <v>9.6949792779834176E-2</v>
      </c>
      <c r="W227" s="24">
        <f>Table1[[#This Row],[IRR]]*Table1[[#This Row],[Coupon Frequency2]]</f>
        <v>9.6949792779834176E-2</v>
      </c>
      <c r="X227" s="25" cm="1">
        <f t="array" ref="X2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7" s="26">
        <f>DURATION(Table1[[#This Row],[Issue date]],Table1[[#This Row],[Maturity date]],Table1[[#This Row],[Current coupon %]],Table1[[#This Row],[Yield (Annualised)]],Table1[[#This Row],[Coupon Frequency2]])</f>
        <v>5.1369558382768323</v>
      </c>
      <c r="Z227" s="26">
        <f>Table1[[#This Row],[Macaulay Duration in Years]]/(1+Table1[[#This Row],[IRR]])</f>
        <v>4.6829452652149381</v>
      </c>
      <c r="AA227" s="27">
        <f>VLOOKUP(Table1[[#This Row],[Yield Cluster]],'[1]Cluster Details'!$B$3:$C$16,2,0)</f>
        <v>7.8548801574189142E-2</v>
      </c>
      <c r="AB227" s="28">
        <f>PRICE(Table1[[#This Row],[Issue date]],Table1[[#This Row],[Maturity date]],Table1[[#This Row],[Current coupon %]],Table1[[#This Row],[Average Cluster Yield]],100,Table1[[#This Row],[Coupon Frequency2]])*Table1[[#This Row],[Face value]]/100</f>
        <v>1114.5382758928415</v>
      </c>
      <c r="AC227" s="27" t="str">
        <f>IF(Table1[[#This Row],[Ask Price]]&gt;Table1[[#This Row],[Calculated Bond Price]],"Rich","Cheap")</f>
        <v>Cheap</v>
      </c>
      <c r="AD227" s="28">
        <f>PRICE(Table1[[#This Row],[Issue date]],Table1[[#This Row],[Maturity date]],Table1[[#This Row],[Current coupon %]],Table1[[#This Row],[Yield (Annualised)]]+$AE$2,100,Table1[[#This Row],[Coupon Frequency2]])*Table1[[#This Row],[Face value]]/100</f>
        <v>965.16514035924581</v>
      </c>
      <c r="AE227" s="28">
        <f>PRICE(Table1[[#This Row],[Issue date]],Table1[[#This Row],[Maturity date]],Table1[[#This Row],[Current coupon %]],Table1[[#This Row],[Yield (Annualised)]]-$AE$2,100,Table1[[#This Row],[Coupon Frequency2]])*Table1[[#This Row],[Face value]]/100</f>
        <v>1067.2989406657919</v>
      </c>
      <c r="AF227" s="28">
        <f>(Table1[[#This Row],[P (+ shock)]]+Table1[[#This Row],[P (-shock)]]-2*Table1[[#This Row],[Ask Price]])/(2*Table1[[#This Row],[Ask Price]]*($AE$2^2))</f>
        <v>12.138330172598806</v>
      </c>
    </row>
    <row r="228" spans="1:32" x14ac:dyDescent="0.25">
      <c r="A228" s="21" t="s">
        <v>520</v>
      </c>
      <c r="B228" s="3" t="s">
        <v>521</v>
      </c>
      <c r="C228" s="3" t="s">
        <v>19</v>
      </c>
      <c r="D228" s="4">
        <v>45796</v>
      </c>
      <c r="E228" s="4">
        <v>47622</v>
      </c>
      <c r="F228" s="3">
        <v>1000</v>
      </c>
      <c r="G228" s="3" t="s">
        <v>20</v>
      </c>
      <c r="H228" s="3">
        <v>1005</v>
      </c>
      <c r="I228" s="3" t="s">
        <v>20</v>
      </c>
      <c r="J228" s="3">
        <v>100.49999999999901</v>
      </c>
      <c r="K228" s="3">
        <v>5</v>
      </c>
      <c r="L228" s="5">
        <v>9.9000000000000005E-2</v>
      </c>
      <c r="M228" s="3" t="s">
        <v>21</v>
      </c>
      <c r="N228" s="3">
        <v>1705</v>
      </c>
      <c r="O228" s="6">
        <f>Table1[[#This Row],[Current coupon %]]*Table1[[#This Row],[Face value]]/Table1[[#This Row],[Ask Price]]</f>
        <v>9.8507462686567168E-2</v>
      </c>
      <c r="P228" s="3"/>
      <c r="Q228" s="3" t="s">
        <v>22</v>
      </c>
      <c r="R228">
        <f t="shared" si="3"/>
        <v>5</v>
      </c>
      <c r="S228" s="22" cm="1">
        <f t="array" ref="S228">_xlfn.IFS(Table1[[#This Row],[Coupon frequency]]="Semi-annual",2,Table1[[#This Row],[Coupon frequency]]="Quarterly",4,Table1[[#This Row],[Coupon frequency]]="Annual",1,Table1[[#This Row],[Coupon frequency]]="Every 4 months",3,Table1[[#This Row],[Coupon frequency]]="Monthly",12)</f>
        <v>1</v>
      </c>
      <c r="T228">
        <f>Table1[[#This Row],[Term to Maturity (Years)]]*Table1[[#This Row],[Coupon Frequency2]]</f>
        <v>5</v>
      </c>
      <c r="U228">
        <f>Table1[[#This Row],[Face value]]*Table1[[#This Row],[Current coupon %]]/Table1[[#This Row],[Coupon Frequency2]]</f>
        <v>99</v>
      </c>
      <c r="V228" s="23">
        <f>RATE(Table1[[#This Row],[Total No. of Coupons]],Table1[[#This Row],[Coupon Amount]],-Table1[[#This Row],[Ask Price]],Table1[[#This Row],[Face value]])</f>
        <v>9.7688791298169264E-2</v>
      </c>
      <c r="W228" s="24">
        <f>Table1[[#This Row],[IRR]]*Table1[[#This Row],[Coupon Frequency2]]</f>
        <v>9.7688791298169264E-2</v>
      </c>
      <c r="X228" s="25" cm="1">
        <f t="array" ref="X2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28" s="26">
        <f>DURATION(Table1[[#This Row],[Issue date]],Table1[[#This Row],[Maturity date]],Table1[[#This Row],[Current coupon %]],Table1[[#This Row],[Yield (Annualised)]],Table1[[#This Row],[Coupon Frequency2]])</f>
        <v>4.178966340090672</v>
      </c>
      <c r="Z228" s="26">
        <f>Table1[[#This Row],[Macaulay Duration in Years]]/(1+Table1[[#This Row],[IRR]])</f>
        <v>3.8070593170113951</v>
      </c>
      <c r="AA228" s="27">
        <f>VLOOKUP(Table1[[#This Row],[Yield Cluster]],'[1]Cluster Details'!$B$3:$C$16,2,0)</f>
        <v>7.8548801574189142E-2</v>
      </c>
      <c r="AB228" s="28">
        <f>PRICE(Table1[[#This Row],[Issue date]],Table1[[#This Row],[Maturity date]],Table1[[#This Row],[Current coupon %]],Table1[[#This Row],[Average Cluster Yield]],100,Table1[[#This Row],[Coupon Frequency2]])*Table1[[#This Row],[Face value]]/100</f>
        <v>1081.9689787445161</v>
      </c>
      <c r="AC228" s="27" t="str">
        <f>IF(Table1[[#This Row],[Ask Price]]&gt;Table1[[#This Row],[Calculated Bond Price]],"Rich","Cheap")</f>
        <v>Cheap</v>
      </c>
      <c r="AD228" s="28">
        <f>PRICE(Table1[[#This Row],[Issue date]],Table1[[#This Row],[Maturity date]],Table1[[#This Row],[Current coupon %]],Table1[[#This Row],[Yield (Annualised)]]+$AE$2,100,Table1[[#This Row],[Coupon Frequency2]])*Table1[[#This Row],[Face value]]/100</f>
        <v>967.69954129368421</v>
      </c>
      <c r="AE228" s="28">
        <f>PRICE(Table1[[#This Row],[Issue date]],Table1[[#This Row],[Maturity date]],Table1[[#This Row],[Current coupon %]],Table1[[#This Row],[Yield (Annualised)]]-$AE$2,100,Table1[[#This Row],[Coupon Frequency2]])*Table1[[#This Row],[Face value]]/100</f>
        <v>1044.2617700656683</v>
      </c>
      <c r="AF228" s="28">
        <f>(Table1[[#This Row],[P (+ shock)]]+Table1[[#This Row],[P (-shock)]]-2*Table1[[#This Row],[Ask Price]])/(2*Table1[[#This Row],[Ask Price]]*($AE$2^2))</f>
        <v>9.7577679569777178</v>
      </c>
    </row>
    <row r="229" spans="1:32" x14ac:dyDescent="0.25">
      <c r="A229" s="21" t="s">
        <v>522</v>
      </c>
      <c r="B229" s="3" t="s">
        <v>523</v>
      </c>
      <c r="C229" s="3" t="s">
        <v>19</v>
      </c>
      <c r="D229" s="4">
        <v>45516</v>
      </c>
      <c r="E229" s="4">
        <v>46855</v>
      </c>
      <c r="F229" s="3">
        <v>100000</v>
      </c>
      <c r="G229" s="3" t="s">
        <v>20</v>
      </c>
      <c r="H229" s="3">
        <v>99000</v>
      </c>
      <c r="I229" s="3" t="s">
        <v>20</v>
      </c>
      <c r="J229" s="3">
        <v>99</v>
      </c>
      <c r="K229" s="3">
        <v>4</v>
      </c>
      <c r="L229" s="5">
        <v>9.7500000000000003E-2</v>
      </c>
      <c r="M229" s="3" t="s">
        <v>21</v>
      </c>
      <c r="N229" s="3">
        <v>938</v>
      </c>
      <c r="O229" s="6">
        <f>Table1[[#This Row],[Current coupon %]]*Table1[[#This Row],[Face value]]/Table1[[#This Row],[Ask Price]]</f>
        <v>9.8484848484848481E-2</v>
      </c>
      <c r="P229" s="3" t="s">
        <v>25</v>
      </c>
      <c r="Q229" s="3" t="s">
        <v>22</v>
      </c>
      <c r="R229">
        <f t="shared" si="3"/>
        <v>4</v>
      </c>
      <c r="S229" s="22" cm="1">
        <f t="array" ref="S229">_xlfn.IFS(Table1[[#This Row],[Coupon frequency]]="Semi-annual",2,Table1[[#This Row],[Coupon frequency]]="Quarterly",4,Table1[[#This Row],[Coupon frequency]]="Annual",1,Table1[[#This Row],[Coupon frequency]]="Every 4 months",3,Table1[[#This Row],[Coupon frequency]]="Monthly",12)</f>
        <v>1</v>
      </c>
      <c r="T229">
        <f>Table1[[#This Row],[Term to Maturity (Years)]]*Table1[[#This Row],[Coupon Frequency2]]</f>
        <v>4</v>
      </c>
      <c r="U229">
        <f>Table1[[#This Row],[Face value]]*Table1[[#This Row],[Current coupon %]]/Table1[[#This Row],[Coupon Frequency2]]</f>
        <v>9750</v>
      </c>
      <c r="V229" s="23">
        <f>RATE(Table1[[#This Row],[Total No. of Coupons]],Table1[[#This Row],[Coupon Amount]],-Table1[[#This Row],[Ask Price]],Table1[[#This Row],[Face value]])</f>
        <v>0.10065921094217491</v>
      </c>
      <c r="W229" s="24">
        <f>Table1[[#This Row],[IRR]]*Table1[[#This Row],[Coupon Frequency2]]</f>
        <v>0.10065921094217491</v>
      </c>
      <c r="X229" s="25" cm="1">
        <f t="array" ref="X2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29" s="26">
        <f>DURATION(Table1[[#This Row],[Issue date]],Table1[[#This Row],[Maturity date]],Table1[[#This Row],[Current coupon %]],Table1[[#This Row],[Yield (Annualised)]],Table1[[#This Row],[Coupon Frequency2]])</f>
        <v>3.1617822976034553</v>
      </c>
      <c r="Z229" s="26">
        <f>Table1[[#This Row],[Macaulay Duration in Years]]/(1+Table1[[#This Row],[IRR]])</f>
        <v>2.8726260282662235</v>
      </c>
      <c r="AA229" s="27">
        <f>VLOOKUP(Table1[[#This Row],[Yield Cluster]],'[1]Cluster Details'!$B$3:$C$16,2,0)</f>
        <v>0.11069942689191503</v>
      </c>
      <c r="AB229" s="28">
        <f>PRICE(Table1[[#This Row],[Issue date]],Table1[[#This Row],[Maturity date]],Table1[[#This Row],[Current coupon %]],Table1[[#This Row],[Average Cluster Yield]],100,Table1[[#This Row],[Coupon Frequency2]])*Table1[[#This Row],[Face value]]/100</f>
        <v>96077.047867788671</v>
      </c>
      <c r="AC229" s="27" t="str">
        <f>IF(Table1[[#This Row],[Ask Price]]&gt;Table1[[#This Row],[Calculated Bond Price]],"Rich","Cheap")</f>
        <v>Rich</v>
      </c>
      <c r="AD229" s="28">
        <f>PRICE(Table1[[#This Row],[Issue date]],Table1[[#This Row],[Maturity date]],Table1[[#This Row],[Current coupon %]],Table1[[#This Row],[Yield (Annualised)]]+$AE$2,100,Table1[[#This Row],[Coupon Frequency2]])*Table1[[#This Row],[Face value]]/100</f>
        <v>96088.388611418515</v>
      </c>
      <c r="AE229" s="28">
        <f>PRICE(Table1[[#This Row],[Issue date]],Table1[[#This Row],[Maturity date]],Table1[[#This Row],[Current coupon %]],Table1[[#This Row],[Yield (Annualised)]]-$AE$2,100,Table1[[#This Row],[Coupon Frequency2]])*Table1[[#This Row],[Face value]]/100</f>
        <v>101962.96233199743</v>
      </c>
      <c r="AF229" s="28">
        <f>(Table1[[#This Row],[P (+ shock)]]+Table1[[#This Row],[P (-shock)]]-2*Table1[[#This Row],[Ask Price]])/(2*Table1[[#This Row],[Ask Price]]*($AE$2^2))</f>
        <v>2.5934819907045243</v>
      </c>
    </row>
    <row r="230" spans="1:32" x14ac:dyDescent="0.25">
      <c r="A230" s="21" t="s">
        <v>77</v>
      </c>
      <c r="B230" s="3" t="s">
        <v>78</v>
      </c>
      <c r="C230" s="3" t="s">
        <v>19</v>
      </c>
      <c r="D230" s="4">
        <v>45777</v>
      </c>
      <c r="E230" s="4">
        <v>46507</v>
      </c>
      <c r="F230" s="3">
        <v>1000</v>
      </c>
      <c r="G230" s="3" t="s">
        <v>20</v>
      </c>
      <c r="H230" s="3">
        <v>1001.31</v>
      </c>
      <c r="I230" s="3" t="s">
        <v>20</v>
      </c>
      <c r="J230" s="3">
        <v>100.13099999999901</v>
      </c>
      <c r="K230" s="3">
        <v>100</v>
      </c>
      <c r="L230" s="5">
        <v>9.5000000000000001E-2</v>
      </c>
      <c r="M230" s="3" t="s">
        <v>21</v>
      </c>
      <c r="N230" s="3">
        <v>590</v>
      </c>
      <c r="O230" s="6">
        <f>Table1[[#This Row],[Current coupon %]]*Table1[[#This Row],[Face value]]/Table1[[#This Row],[Ask Price]]</f>
        <v>9.4875712816210767E-2</v>
      </c>
      <c r="P230" s="3"/>
      <c r="Q230" s="3" t="s">
        <v>22</v>
      </c>
      <c r="R230">
        <f t="shared" si="3"/>
        <v>2</v>
      </c>
      <c r="S230" s="22" cm="1">
        <f t="array" ref="S230">_xlfn.IFS(Table1[[#This Row],[Coupon frequency]]="Semi-annual",2,Table1[[#This Row],[Coupon frequency]]="Quarterly",4,Table1[[#This Row],[Coupon frequency]]="Annual",1,Table1[[#This Row],[Coupon frequency]]="Every 4 months",3,Table1[[#This Row],[Coupon frequency]]="Monthly",12)</f>
        <v>1</v>
      </c>
      <c r="T230">
        <f>Table1[[#This Row],[Term to Maturity (Years)]]*Table1[[#This Row],[Coupon Frequency2]]</f>
        <v>2</v>
      </c>
      <c r="U230">
        <f>Table1[[#This Row],[Face value]]*Table1[[#This Row],[Current coupon %]]/Table1[[#This Row],[Coupon Frequency2]]</f>
        <v>95</v>
      </c>
      <c r="V230" s="23">
        <f>RATE(Table1[[#This Row],[Total No. of Coupons]],Table1[[#This Row],[Coupon Amount]],-Table1[[#This Row],[Ask Price]],Table1[[#This Row],[Face value]])</f>
        <v>9.4251009216545903E-2</v>
      </c>
      <c r="W230" s="24">
        <f>Table1[[#This Row],[IRR]]*Table1[[#This Row],[Coupon Frequency2]]</f>
        <v>9.4251009216545903E-2</v>
      </c>
      <c r="X230" s="25" cm="1">
        <f t="array" ref="X2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0" s="26">
        <f>DURATION(Table1[[#This Row],[Issue date]],Table1[[#This Row],[Maturity date]],Table1[[#This Row],[Current coupon %]],Table1[[#This Row],[Yield (Annualised)]],Table1[[#This Row],[Coupon Frequency2]])</f>
        <v>1.9132962071616224</v>
      </c>
      <c r="Z230" s="26">
        <f>Table1[[#This Row],[Macaulay Duration in Years]]/(1+Table1[[#This Row],[IRR]])</f>
        <v>1.7484984624610864</v>
      </c>
      <c r="AA230" s="27">
        <f>VLOOKUP(Table1[[#This Row],[Yield Cluster]],'[1]Cluster Details'!$B$3:$C$16,2,0)</f>
        <v>7.8548801574189142E-2</v>
      </c>
      <c r="AB230" s="28">
        <f>PRICE(Table1[[#This Row],[Issue date]],Table1[[#This Row],[Maturity date]],Table1[[#This Row],[Current coupon %]],Table1[[#This Row],[Average Cluster Yield]],100,Table1[[#This Row],[Coupon Frequency2]])*Table1[[#This Row],[Face value]]/100</f>
        <v>1029.3953181547861</v>
      </c>
      <c r="AC230" s="27" t="str">
        <f>IF(Table1[[#This Row],[Ask Price]]&gt;Table1[[#This Row],[Calculated Bond Price]],"Rich","Cheap")</f>
        <v>Cheap</v>
      </c>
      <c r="AD230" s="28">
        <f>PRICE(Table1[[#This Row],[Issue date]],Table1[[#This Row],[Maturity date]],Table1[[#This Row],[Current coupon %]],Table1[[#This Row],[Yield (Annualised)]]+$AE$2,100,Table1[[#This Row],[Coupon Frequency2]])*Table1[[#This Row],[Face value]]/100</f>
        <v>984.03565707792961</v>
      </c>
      <c r="AE230" s="28">
        <f>PRICE(Table1[[#This Row],[Issue date]],Table1[[#This Row],[Maturity date]],Table1[[#This Row],[Current coupon %]],Table1[[#This Row],[Yield (Annualised)]]-$AE$2,100,Table1[[#This Row],[Coupon Frequency2]])*Table1[[#This Row],[Face value]]/100</f>
        <v>1019.0571538834416</v>
      </c>
      <c r="AF230" s="28">
        <f>(Table1[[#This Row],[P (+ shock)]]+Table1[[#This Row],[P (-shock)]]-2*Table1[[#This Row],[Ask Price]])/(2*Table1[[#This Row],[Ask Price]]*($AE$2^2))</f>
        <v>2.3609619467065714</v>
      </c>
    </row>
    <row r="231" spans="1:32" x14ac:dyDescent="0.25">
      <c r="A231" s="21" t="s">
        <v>524</v>
      </c>
      <c r="B231" s="3" t="s">
        <v>525</v>
      </c>
      <c r="C231" s="3" t="s">
        <v>19</v>
      </c>
      <c r="D231" s="4">
        <v>45796</v>
      </c>
      <c r="E231" s="4">
        <v>47987</v>
      </c>
      <c r="F231" s="3">
        <v>1000</v>
      </c>
      <c r="G231" s="3" t="s">
        <v>20</v>
      </c>
      <c r="H231" s="3">
        <v>1017</v>
      </c>
      <c r="I231" s="3" t="s">
        <v>20</v>
      </c>
      <c r="J231" s="3">
        <v>101.69999999999899</v>
      </c>
      <c r="K231" s="3">
        <v>50</v>
      </c>
      <c r="L231" s="5">
        <v>0.1</v>
      </c>
      <c r="M231" s="3" t="s">
        <v>21</v>
      </c>
      <c r="N231" s="3">
        <v>2070</v>
      </c>
      <c r="O231" s="6">
        <f>Table1[[#This Row],[Current coupon %]]*Table1[[#This Row],[Face value]]/Table1[[#This Row],[Ask Price]]</f>
        <v>9.8328416912487712E-2</v>
      </c>
      <c r="P231" s="3"/>
      <c r="Q231" s="3" t="s">
        <v>22</v>
      </c>
      <c r="R231">
        <f t="shared" si="3"/>
        <v>6</v>
      </c>
      <c r="S231" s="22" cm="1">
        <f t="array" ref="S231">_xlfn.IFS(Table1[[#This Row],[Coupon frequency]]="Semi-annual",2,Table1[[#This Row],[Coupon frequency]]="Quarterly",4,Table1[[#This Row],[Coupon frequency]]="Annual",1,Table1[[#This Row],[Coupon frequency]]="Every 4 months",3,Table1[[#This Row],[Coupon frequency]]="Monthly",12)</f>
        <v>1</v>
      </c>
      <c r="T231">
        <f>Table1[[#This Row],[Term to Maturity (Years)]]*Table1[[#This Row],[Coupon Frequency2]]</f>
        <v>6</v>
      </c>
      <c r="U231">
        <f>Table1[[#This Row],[Face value]]*Table1[[#This Row],[Current coupon %]]/Table1[[#This Row],[Coupon Frequency2]]</f>
        <v>100</v>
      </c>
      <c r="V231" s="23">
        <f>RATE(Table1[[#This Row],[Total No. of Coupons]],Table1[[#This Row],[Coupon Amount]],-Table1[[#This Row],[Ask Price]],Table1[[#This Row],[Face value]])</f>
        <v>9.6140716252123518E-2</v>
      </c>
      <c r="W231" s="24">
        <f>Table1[[#This Row],[IRR]]*Table1[[#This Row],[Coupon Frequency2]]</f>
        <v>9.6140716252123518E-2</v>
      </c>
      <c r="X231" s="25" cm="1">
        <f t="array" ref="X2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1" s="26">
        <f>DURATION(Table1[[#This Row],[Issue date]],Table1[[#This Row],[Maturity date]],Table1[[#This Row],[Current coupon %]],Table1[[#This Row],[Yield (Annualised)]],Table1[[#This Row],[Coupon Frequency2]])</f>
        <v>4.8018000471503157</v>
      </c>
      <c r="Z231" s="26">
        <f>Table1[[#This Row],[Macaulay Duration in Years]]/(1+Table1[[#This Row],[IRR]])</f>
        <v>4.380641988711468</v>
      </c>
      <c r="AA231" s="27">
        <f>VLOOKUP(Table1[[#This Row],[Yield Cluster]],'[1]Cluster Details'!$B$3:$C$16,2,0)</f>
        <v>7.8548801574189142E-2</v>
      </c>
      <c r="AB231" s="28">
        <f>PRICE(Table1[[#This Row],[Issue date]],Table1[[#This Row],[Maturity date]],Table1[[#This Row],[Current coupon %]],Table1[[#This Row],[Average Cluster Yield]],100,Table1[[#This Row],[Coupon Frequency2]])*Table1[[#This Row],[Face value]]/100</f>
        <v>1099.6043991254128</v>
      </c>
      <c r="AC231" s="27" t="str">
        <f>IF(Table1[[#This Row],[Ask Price]]&gt;Table1[[#This Row],[Calculated Bond Price]],"Rich","Cheap")</f>
        <v>Cheap</v>
      </c>
      <c r="AD231" s="28">
        <f>PRICE(Table1[[#This Row],[Issue date]],Table1[[#This Row],[Maturity date]],Table1[[#This Row],[Current coupon %]],Table1[[#This Row],[Yield (Annualised)]]+$AE$2,100,Table1[[#This Row],[Coupon Frequency2]])*Table1[[#This Row],[Face value]]/100</f>
        <v>973.73007077236218</v>
      </c>
      <c r="AE231" s="28">
        <f>PRICE(Table1[[#This Row],[Issue date]],Table1[[#This Row],[Maturity date]],Table1[[#This Row],[Current coupon %]],Table1[[#This Row],[Yield (Annualised)]]-$AE$2,100,Table1[[#This Row],[Coupon Frequency2]])*Table1[[#This Row],[Face value]]/100</f>
        <v>1062.8935382667951</v>
      </c>
      <c r="AF231" s="28">
        <f>(Table1[[#This Row],[P (+ shock)]]+Table1[[#This Row],[P (-shock)]]-2*Table1[[#This Row],[Ask Price]])/(2*Table1[[#This Row],[Ask Price]]*($AE$2^2))</f>
        <v>12.898766170880753</v>
      </c>
    </row>
    <row r="232" spans="1:32" x14ac:dyDescent="0.25">
      <c r="A232" s="21" t="s">
        <v>526</v>
      </c>
      <c r="B232" s="3" t="s">
        <v>527</v>
      </c>
      <c r="C232" s="3" t="s">
        <v>19</v>
      </c>
      <c r="D232" s="4">
        <v>40476</v>
      </c>
      <c r="E232" s="4">
        <v>45955</v>
      </c>
      <c r="F232" s="3">
        <v>1000000</v>
      </c>
      <c r="G232" s="3" t="s">
        <v>20</v>
      </c>
      <c r="H232" s="3">
        <v>950078.06</v>
      </c>
      <c r="I232" s="3" t="s">
        <v>20</v>
      </c>
      <c r="J232" s="3">
        <v>95.007806000000002</v>
      </c>
      <c r="K232" s="3">
        <v>1</v>
      </c>
      <c r="L232" s="5">
        <v>9.3399999999999997E-2</v>
      </c>
      <c r="M232" s="3" t="s">
        <v>53</v>
      </c>
      <c r="N232" s="3">
        <v>38</v>
      </c>
      <c r="O232" s="6">
        <f>Table1[[#This Row],[Current coupon %]]*Table1[[#This Row],[Face value]]/Table1[[#This Row],[Ask Price]]</f>
        <v>9.8307711684237811E-2</v>
      </c>
      <c r="P232" s="3"/>
      <c r="Q232" s="3" t="s">
        <v>22</v>
      </c>
      <c r="R232">
        <f t="shared" si="3"/>
        <v>15</v>
      </c>
      <c r="S232" s="22" cm="1">
        <f t="array" ref="S232">_xlfn.IFS(Table1[[#This Row],[Coupon frequency]]="Semi-annual",2,Table1[[#This Row],[Coupon frequency]]="Quarterly",4,Table1[[#This Row],[Coupon frequency]]="Annual",1,Table1[[#This Row],[Coupon frequency]]="Every 4 months",3,Table1[[#This Row],[Coupon frequency]]="Monthly",12)</f>
        <v>2</v>
      </c>
      <c r="T232">
        <f>Table1[[#This Row],[Term to Maturity (Years)]]*Table1[[#This Row],[Coupon Frequency2]]</f>
        <v>30</v>
      </c>
      <c r="U232">
        <f>Table1[[#This Row],[Face value]]*Table1[[#This Row],[Current coupon %]]/Table1[[#This Row],[Coupon Frequency2]]</f>
        <v>46700</v>
      </c>
      <c r="V232" s="23">
        <f>RATE(Table1[[#This Row],[Total No. of Coupons]],Table1[[#This Row],[Coupon Amount]],-Table1[[#This Row],[Ask Price]],Table1[[#This Row],[Face value]])</f>
        <v>4.9945475695771929E-2</v>
      </c>
      <c r="W232" s="24">
        <f>Table1[[#This Row],[IRR]]*Table1[[#This Row],[Coupon Frequency2]]</f>
        <v>9.9890951391543858E-2</v>
      </c>
      <c r="X232" s="25" cm="1">
        <f t="array" ref="X2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2" s="26">
        <f>DURATION(Table1[[#This Row],[Issue date]],Table1[[#This Row],[Maturity date]],Table1[[#This Row],[Current coupon %]],Table1[[#This Row],[Yield (Annualised)]],Table1[[#This Row],[Coupon Frequency2]])</f>
        <v>8.1848928522597628</v>
      </c>
      <c r="Z232" s="26">
        <f>Table1[[#This Row],[Macaulay Duration in Years]]/(1+Table1[[#This Row],[IRR]])</f>
        <v>7.7955408559057258</v>
      </c>
      <c r="AA232" s="27">
        <f>VLOOKUP(Table1[[#This Row],[Yield Cluster]],'[1]Cluster Details'!$B$3:$C$16,2,0)</f>
        <v>7.8548801574189142E-2</v>
      </c>
      <c r="AB232" s="28">
        <f>PRICE(Table1[[#This Row],[Issue date]],Table1[[#This Row],[Maturity date]],Table1[[#This Row],[Current coupon %]],Table1[[#This Row],[Average Cluster Yield]],100,Table1[[#This Row],[Coupon Frequency2]])*Table1[[#This Row],[Face value]]/100</f>
        <v>1129542.5580469999</v>
      </c>
      <c r="AC232" s="27" t="str">
        <f>IF(Table1[[#This Row],[Ask Price]]&gt;Table1[[#This Row],[Calculated Bond Price]],"Rich","Cheap")</f>
        <v>Cheap</v>
      </c>
      <c r="AD232" s="28">
        <f>PRICE(Table1[[#This Row],[Issue date]],Table1[[#This Row],[Maturity date]],Table1[[#This Row],[Current coupon %]],Table1[[#This Row],[Yield (Annualised)]]+$AE$2,100,Table1[[#This Row],[Coupon Frequency2]])*Table1[[#This Row],[Face value]]/100</f>
        <v>880090.15987712319</v>
      </c>
      <c r="AE232" s="28">
        <f>PRICE(Table1[[#This Row],[Issue date]],Table1[[#This Row],[Maturity date]],Table1[[#This Row],[Current coupon %]],Table1[[#This Row],[Yield (Annualised)]]-$AE$2,100,Table1[[#This Row],[Coupon Frequency2]])*Table1[[#This Row],[Face value]]/100</f>
        <v>1028597.59300375</v>
      </c>
      <c r="AF232" s="28">
        <f>(Table1[[#This Row],[P (+ shock)]]+Table1[[#This Row],[P (-shock)]]-2*Table1[[#This Row],[Ask Price]])/(2*Table1[[#This Row],[Ask Price]]*($AE$2^2))</f>
        <v>44.899641619305712</v>
      </c>
    </row>
    <row r="233" spans="1:32" x14ac:dyDescent="0.25">
      <c r="A233" s="21" t="s">
        <v>528</v>
      </c>
      <c r="B233" s="3" t="s">
        <v>529</v>
      </c>
      <c r="C233" s="3" t="s">
        <v>19</v>
      </c>
      <c r="D233" s="4">
        <v>45854</v>
      </c>
      <c r="E233" s="4">
        <v>46950</v>
      </c>
      <c r="F233" s="3">
        <v>1000</v>
      </c>
      <c r="G233" s="3" t="s">
        <v>20</v>
      </c>
      <c r="H233" s="3">
        <v>961.6</v>
      </c>
      <c r="I233" s="3" t="s">
        <v>20</v>
      </c>
      <c r="J233" s="3">
        <v>96.16</v>
      </c>
      <c r="K233" s="3">
        <v>1</v>
      </c>
      <c r="L233" s="5">
        <v>9.4499999999999987E-2</v>
      </c>
      <c r="M233" s="3" t="s">
        <v>21</v>
      </c>
      <c r="N233" s="3">
        <v>1033</v>
      </c>
      <c r="O233" s="6">
        <f>Table1[[#This Row],[Current coupon %]]*Table1[[#This Row],[Face value]]/Table1[[#This Row],[Ask Price]]</f>
        <v>9.82737104825291E-2</v>
      </c>
      <c r="P233" s="3"/>
      <c r="Q233" s="3" t="s">
        <v>22</v>
      </c>
      <c r="R233">
        <f t="shared" si="3"/>
        <v>3</v>
      </c>
      <c r="S233" s="22" cm="1">
        <f t="array" ref="S233">_xlfn.IFS(Table1[[#This Row],[Coupon frequency]]="Semi-annual",2,Table1[[#This Row],[Coupon frequency]]="Quarterly",4,Table1[[#This Row],[Coupon frequency]]="Annual",1,Table1[[#This Row],[Coupon frequency]]="Every 4 months",3,Table1[[#This Row],[Coupon frequency]]="Monthly",12)</f>
        <v>1</v>
      </c>
      <c r="T233">
        <f>Table1[[#This Row],[Term to Maturity (Years)]]*Table1[[#This Row],[Coupon Frequency2]]</f>
        <v>3</v>
      </c>
      <c r="U233">
        <f>Table1[[#This Row],[Face value]]*Table1[[#This Row],[Current coupon %]]/Table1[[#This Row],[Coupon Frequency2]]</f>
        <v>94.499999999999986</v>
      </c>
      <c r="V233" s="23">
        <f>RATE(Table1[[#This Row],[Total No. of Coupons]],Table1[[#This Row],[Coupon Amount]],-Table1[[#This Row],[Ask Price]],Table1[[#This Row],[Face value]])</f>
        <v>0.11021978905430774</v>
      </c>
      <c r="W233" s="24">
        <f>Table1[[#This Row],[IRR]]*Table1[[#This Row],[Coupon Frequency2]]</f>
        <v>0.11021978905430774</v>
      </c>
      <c r="X233" s="25" cm="1">
        <f t="array" ref="X2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33" s="26">
        <f>DURATION(Table1[[#This Row],[Issue date]],Table1[[#This Row],[Maturity date]],Table1[[#This Row],[Current coupon %]],Table1[[#This Row],[Yield (Annualised)]],Table1[[#This Row],[Coupon Frequency2]])</f>
        <v>2.7432357350073104</v>
      </c>
      <c r="Z233" s="26">
        <f>Table1[[#This Row],[Macaulay Duration in Years]]/(1+Table1[[#This Row],[IRR]])</f>
        <v>2.4708942878274724</v>
      </c>
      <c r="AA233" s="27">
        <f>VLOOKUP(Table1[[#This Row],[Yield Cluster]],'[1]Cluster Details'!$B$3:$C$16,2,0)</f>
        <v>0.11069942689191503</v>
      </c>
      <c r="AB233" s="28">
        <f>PRICE(Table1[[#This Row],[Issue date]],Table1[[#This Row],[Maturity date]],Table1[[#This Row],[Current coupon %]],Table1[[#This Row],[Average Cluster Yield]],100,Table1[[#This Row],[Coupon Frequency2]])*Table1[[#This Row],[Face value]]/100</f>
        <v>960.46132857857015</v>
      </c>
      <c r="AC233" s="27" t="str">
        <f>IF(Table1[[#This Row],[Ask Price]]&gt;Table1[[#This Row],[Calculated Bond Price]],"Rich","Cheap")</f>
        <v>Rich</v>
      </c>
      <c r="AD233" s="28">
        <f>PRICE(Table1[[#This Row],[Issue date]],Table1[[#This Row],[Maturity date]],Table1[[#This Row],[Current coupon %]],Table1[[#This Row],[Yield (Annualised)]]+$AE$2,100,Table1[[#This Row],[Coupon Frequency2]])*Table1[[#This Row],[Face value]]/100</f>
        <v>938.24873033518418</v>
      </c>
      <c r="AE233" s="28">
        <f>PRICE(Table1[[#This Row],[Issue date]],Table1[[#This Row],[Maturity date]],Table1[[#This Row],[Current coupon %]],Table1[[#This Row],[Yield (Annualised)]]-$AE$2,100,Table1[[#This Row],[Coupon Frequency2]])*Table1[[#This Row],[Face value]]/100</f>
        <v>985.7812333354982</v>
      </c>
      <c r="AF233" s="28">
        <f>(Table1[[#This Row],[P (+ shock)]]+Table1[[#This Row],[P (-shock)]]-2*Table1[[#This Row],[Ask Price]])/(2*Table1[[#This Row],[Ask Price]]*($AE$2^2))</f>
        <v>4.3155348933143634</v>
      </c>
    </row>
    <row r="234" spans="1:32" x14ac:dyDescent="0.25">
      <c r="A234" s="21" t="s">
        <v>530</v>
      </c>
      <c r="B234" s="3" t="s">
        <v>531</v>
      </c>
      <c r="C234" s="3" t="s">
        <v>19</v>
      </c>
      <c r="D234" s="4">
        <v>45771</v>
      </c>
      <c r="E234" s="4">
        <v>46501</v>
      </c>
      <c r="F234" s="3">
        <v>1000</v>
      </c>
      <c r="G234" s="3" t="s">
        <v>20</v>
      </c>
      <c r="H234" s="3">
        <v>1018</v>
      </c>
      <c r="I234" s="3" t="s">
        <v>20</v>
      </c>
      <c r="J234" s="3">
        <v>101.8</v>
      </c>
      <c r="K234" s="3">
        <v>1</v>
      </c>
      <c r="L234" s="5">
        <v>0.1</v>
      </c>
      <c r="M234" s="3" t="s">
        <v>21</v>
      </c>
      <c r="N234" s="3">
        <v>584</v>
      </c>
      <c r="O234" s="6">
        <f>Table1[[#This Row],[Current coupon %]]*Table1[[#This Row],[Face value]]/Table1[[#This Row],[Ask Price]]</f>
        <v>9.8231827111984277E-2</v>
      </c>
      <c r="P234" s="3"/>
      <c r="Q234" s="3" t="s">
        <v>22</v>
      </c>
      <c r="R234">
        <f t="shared" si="3"/>
        <v>2</v>
      </c>
      <c r="S234" s="22" cm="1">
        <f t="array" ref="S234">_xlfn.IFS(Table1[[#This Row],[Coupon frequency]]="Semi-annual",2,Table1[[#This Row],[Coupon frequency]]="Quarterly",4,Table1[[#This Row],[Coupon frequency]]="Annual",1,Table1[[#This Row],[Coupon frequency]]="Every 4 months",3,Table1[[#This Row],[Coupon frequency]]="Monthly",12)</f>
        <v>1</v>
      </c>
      <c r="T234">
        <f>Table1[[#This Row],[Term to Maturity (Years)]]*Table1[[#This Row],[Coupon Frequency2]]</f>
        <v>2</v>
      </c>
      <c r="U234">
        <f>Table1[[#This Row],[Face value]]*Table1[[#This Row],[Current coupon %]]/Table1[[#This Row],[Coupon Frequency2]]</f>
        <v>100</v>
      </c>
      <c r="V234" s="23">
        <f>RATE(Table1[[#This Row],[Total No. of Coupons]],Table1[[#This Row],[Coupon Amount]],-Table1[[#This Row],[Ask Price]],Table1[[#This Row],[Face value]])</f>
        <v>8.9770741631212639E-2</v>
      </c>
      <c r="W234" s="24">
        <f>Table1[[#This Row],[IRR]]*Table1[[#This Row],[Coupon Frequency2]]</f>
        <v>8.9770741631212639E-2</v>
      </c>
      <c r="X234" s="25" cm="1">
        <f t="array" ref="X2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4" s="26">
        <f>DURATION(Table1[[#This Row],[Issue date]],Table1[[#This Row],[Maturity date]],Table1[[#This Row],[Current coupon %]],Table1[[#This Row],[Yield (Annualised)]],Table1[[#This Row],[Coupon Frequency2]])</f>
        <v>1.9098600986800702</v>
      </c>
      <c r="Z234" s="26">
        <f>Table1[[#This Row],[Macaulay Duration in Years]]/(1+Table1[[#This Row],[IRR]])</f>
        <v>1.7525338364483112</v>
      </c>
      <c r="AA234" s="27">
        <f>VLOOKUP(Table1[[#This Row],[Yield Cluster]],'[1]Cluster Details'!$B$3:$C$16,2,0)</f>
        <v>7.8548801574189142E-2</v>
      </c>
      <c r="AB234" s="28">
        <f>PRICE(Table1[[#This Row],[Issue date]],Table1[[#This Row],[Maturity date]],Table1[[#This Row],[Current coupon %]],Table1[[#This Row],[Average Cluster Yield]],100,Table1[[#This Row],[Coupon Frequency2]])*Table1[[#This Row],[Face value]]/100</f>
        <v>1038.3294144418585</v>
      </c>
      <c r="AC234" s="27" t="str">
        <f>IF(Table1[[#This Row],[Ask Price]]&gt;Table1[[#This Row],[Calculated Bond Price]],"Rich","Cheap")</f>
        <v>Cheap</v>
      </c>
      <c r="AD234" s="28">
        <f>PRICE(Table1[[#This Row],[Issue date]],Table1[[#This Row],[Maturity date]],Table1[[#This Row],[Current coupon %]],Table1[[#This Row],[Yield (Annualised)]]+$AE$2,100,Table1[[#This Row],[Coupon Frequency2]])*Table1[[#This Row],[Face value]]/100</f>
        <v>1000.3980088737507</v>
      </c>
      <c r="AE234" s="28">
        <f>PRICE(Table1[[#This Row],[Issue date]],Table1[[#This Row],[Maturity date]],Table1[[#This Row],[Current coupon %]],Table1[[#This Row],[Yield (Annualised)]]-$AE$2,100,Table1[[#This Row],[Coupon Frequency2]])*Table1[[#This Row],[Face value]]/100</f>
        <v>1036.0854657380814</v>
      </c>
      <c r="AF234" s="28">
        <f>(Table1[[#This Row],[P (+ shock)]]+Table1[[#This Row],[P (-shock)]]-2*Table1[[#This Row],[Ask Price]])/(2*Table1[[#This Row],[Ask Price]]*($AE$2^2))</f>
        <v>2.3746297241267551</v>
      </c>
    </row>
    <row r="235" spans="1:32" x14ac:dyDescent="0.25">
      <c r="A235" s="21" t="s">
        <v>532</v>
      </c>
      <c r="B235" s="3" t="s">
        <v>533</v>
      </c>
      <c r="C235" s="3" t="s">
        <v>19</v>
      </c>
      <c r="D235" s="4">
        <v>45560</v>
      </c>
      <c r="E235" s="4">
        <v>46655</v>
      </c>
      <c r="F235" s="3">
        <v>1000</v>
      </c>
      <c r="G235" s="3" t="s">
        <v>20</v>
      </c>
      <c r="H235" s="3">
        <v>1090</v>
      </c>
      <c r="I235" s="3" t="s">
        <v>20</v>
      </c>
      <c r="J235" s="3">
        <v>109</v>
      </c>
      <c r="K235" s="3">
        <v>15</v>
      </c>
      <c r="L235" s="5">
        <v>0.107</v>
      </c>
      <c r="M235" s="3" t="s">
        <v>21</v>
      </c>
      <c r="N235" s="3">
        <v>738</v>
      </c>
      <c r="O235" s="6">
        <f>Table1[[#This Row],[Current coupon %]]*Table1[[#This Row],[Face value]]/Table1[[#This Row],[Ask Price]]</f>
        <v>9.8165137614678905E-2</v>
      </c>
      <c r="P235" s="3"/>
      <c r="Q235" s="3" t="s">
        <v>22</v>
      </c>
      <c r="R235">
        <f t="shared" si="3"/>
        <v>3</v>
      </c>
      <c r="S235" s="22" cm="1">
        <f t="array" ref="S235">_xlfn.IFS(Table1[[#This Row],[Coupon frequency]]="Semi-annual",2,Table1[[#This Row],[Coupon frequency]]="Quarterly",4,Table1[[#This Row],[Coupon frequency]]="Annual",1,Table1[[#This Row],[Coupon frequency]]="Every 4 months",3,Table1[[#This Row],[Coupon frequency]]="Monthly",12)</f>
        <v>1</v>
      </c>
      <c r="T235">
        <f>Table1[[#This Row],[Term to Maturity (Years)]]*Table1[[#This Row],[Coupon Frequency2]]</f>
        <v>3</v>
      </c>
      <c r="U235">
        <f>Table1[[#This Row],[Face value]]*Table1[[#This Row],[Current coupon %]]/Table1[[#This Row],[Coupon Frequency2]]</f>
        <v>107</v>
      </c>
      <c r="V235" s="23">
        <f>RATE(Table1[[#This Row],[Total No. of Coupons]],Table1[[#This Row],[Coupon Amount]],-Table1[[#This Row],[Ask Price]],Table1[[#This Row],[Face value]])</f>
        <v>7.254572469552005E-2</v>
      </c>
      <c r="W235" s="24">
        <f>Table1[[#This Row],[IRR]]*Table1[[#This Row],[Coupon Frequency2]]</f>
        <v>7.254572469552005E-2</v>
      </c>
      <c r="X235" s="25" cm="1">
        <f t="array" ref="X2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5" s="26">
        <f>DURATION(Table1[[#This Row],[Issue date]],Table1[[#This Row],[Maturity date]],Table1[[#This Row],[Current coupon %]],Table1[[#This Row],[Yield (Annualised)]],Table1[[#This Row],[Coupon Frequency2]])</f>
        <v>2.7316145760749388</v>
      </c>
      <c r="Z235" s="26">
        <f>Table1[[#This Row],[Macaulay Duration in Years]]/(1+Table1[[#This Row],[IRR]])</f>
        <v>2.5468513958697696</v>
      </c>
      <c r="AA235" s="27">
        <f>VLOOKUP(Table1[[#This Row],[Yield Cluster]],'[1]Cluster Details'!$B$3:$C$16,2,0)</f>
        <v>7.8548801574189142E-2</v>
      </c>
      <c r="AB235" s="28">
        <f>PRICE(Table1[[#This Row],[Issue date]],Table1[[#This Row],[Maturity date]],Table1[[#This Row],[Current coupon %]],Table1[[#This Row],[Average Cluster Yield]],100,Table1[[#This Row],[Coupon Frequency2]])*Table1[[#This Row],[Face value]]/100</f>
        <v>1073.5139175472136</v>
      </c>
      <c r="AC235" s="27" t="str">
        <f>IF(Table1[[#This Row],[Ask Price]]&gt;Table1[[#This Row],[Calculated Bond Price]],"Rich","Cheap")</f>
        <v>Rich</v>
      </c>
      <c r="AD235" s="28">
        <f>PRICE(Table1[[#This Row],[Issue date]],Table1[[#This Row],[Maturity date]],Table1[[#This Row],[Current coupon %]],Table1[[#This Row],[Yield (Annualised)]]+$AE$2,100,Table1[[#This Row],[Coupon Frequency2]])*Table1[[#This Row],[Face value]]/100</f>
        <v>1062.7326715231525</v>
      </c>
      <c r="AE235" s="28">
        <f>PRICE(Table1[[#This Row],[Issue date]],Table1[[#This Row],[Maturity date]],Table1[[#This Row],[Current coupon %]],Table1[[#This Row],[Yield (Annualised)]]-$AE$2,100,Table1[[#This Row],[Coupon Frequency2]])*Table1[[#This Row],[Face value]]/100</f>
        <v>1118.2693434853552</v>
      </c>
      <c r="AF235" s="28">
        <f>(Table1[[#This Row],[P (+ shock)]]+Table1[[#This Row],[P (-shock)]]-2*Table1[[#This Row],[Ask Price]])/(2*Table1[[#This Row],[Ask Price]]*($AE$2^2))</f>
        <v>4.5963991215937705</v>
      </c>
    </row>
    <row r="236" spans="1:32" x14ac:dyDescent="0.25">
      <c r="A236" s="21" t="s">
        <v>534</v>
      </c>
      <c r="B236" s="3" t="s">
        <v>535</v>
      </c>
      <c r="C236" s="3" t="s">
        <v>19</v>
      </c>
      <c r="D236" s="4">
        <v>45498</v>
      </c>
      <c r="E236" s="4">
        <v>46228</v>
      </c>
      <c r="F236" s="3">
        <v>100000</v>
      </c>
      <c r="G236" s="3" t="s">
        <v>20</v>
      </c>
      <c r="H236" s="3">
        <v>101373.74</v>
      </c>
      <c r="I236" s="3" t="s">
        <v>20</v>
      </c>
      <c r="J236" s="3">
        <v>101.37374</v>
      </c>
      <c r="K236" s="3">
        <v>1</v>
      </c>
      <c r="L236" s="5">
        <v>9.9499999999999991E-2</v>
      </c>
      <c r="M236" s="3" t="s">
        <v>44</v>
      </c>
      <c r="N236" s="3">
        <v>311</v>
      </c>
      <c r="O236" s="6">
        <f>Table1[[#This Row],[Current coupon %]]*Table1[[#This Row],[Face value]]/Table1[[#This Row],[Ask Price]]</f>
        <v>9.8151651502647527E-2</v>
      </c>
      <c r="P236" s="3"/>
      <c r="Q236" s="3" t="s">
        <v>22</v>
      </c>
      <c r="R236">
        <f t="shared" si="3"/>
        <v>2</v>
      </c>
      <c r="S236" s="22" cm="1">
        <f t="array" ref="S236">_xlfn.IFS(Table1[[#This Row],[Coupon frequency]]="Semi-annual",2,Table1[[#This Row],[Coupon frequency]]="Quarterly",4,Table1[[#This Row],[Coupon frequency]]="Annual",1,Table1[[#This Row],[Coupon frequency]]="Every 4 months",3,Table1[[#This Row],[Coupon frequency]]="Monthly",12)</f>
        <v>4</v>
      </c>
      <c r="T236">
        <f>Table1[[#This Row],[Term to Maturity (Years)]]*Table1[[#This Row],[Coupon Frequency2]]</f>
        <v>8</v>
      </c>
      <c r="U236">
        <f>Table1[[#This Row],[Face value]]*Table1[[#This Row],[Current coupon %]]/Table1[[#This Row],[Coupon Frequency2]]</f>
        <v>2487.5</v>
      </c>
      <c r="V236" s="23">
        <f>RATE(Table1[[#This Row],[Total No. of Coupons]],Table1[[#This Row],[Coupon Amount]],-Table1[[#This Row],[Ask Price]],Table1[[#This Row],[Face value]])</f>
        <v>2.2975583629774154E-2</v>
      </c>
      <c r="W236" s="24">
        <f>Table1[[#This Row],[IRR]]*Table1[[#This Row],[Coupon Frequency2]]</f>
        <v>9.1902334519096615E-2</v>
      </c>
      <c r="X236" s="25" cm="1">
        <f t="array" ref="X2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6" s="26">
        <f>DURATION(Table1[[#This Row],[Issue date]],Table1[[#This Row],[Maturity date]],Table1[[#This Row],[Current coupon %]],Table1[[#This Row],[Yield (Annualised)]],Table1[[#This Row],[Coupon Frequency2]])</f>
        <v>1.839426665508491</v>
      </c>
      <c r="Z236" s="26">
        <f>Table1[[#This Row],[Macaulay Duration in Years]]/(1+Table1[[#This Row],[IRR]])</f>
        <v>1.7981139481176502</v>
      </c>
      <c r="AA236" s="27">
        <f>VLOOKUP(Table1[[#This Row],[Yield Cluster]],'[1]Cluster Details'!$B$3:$C$16,2,0)</f>
        <v>7.8548801574189142E-2</v>
      </c>
      <c r="AB236" s="28">
        <f>PRICE(Table1[[#This Row],[Issue date]],Table1[[#This Row],[Maturity date]],Table1[[#This Row],[Current coupon %]],Table1[[#This Row],[Average Cluster Yield]],100,Table1[[#This Row],[Coupon Frequency2]])*Table1[[#This Row],[Face value]]/100</f>
        <v>103842.94694861598</v>
      </c>
      <c r="AC236" s="27" t="str">
        <f>IF(Table1[[#This Row],[Ask Price]]&gt;Table1[[#This Row],[Calculated Bond Price]],"Rich","Cheap")</f>
        <v>Cheap</v>
      </c>
      <c r="AD236" s="28">
        <f>PRICE(Table1[[#This Row],[Issue date]],Table1[[#This Row],[Maturity date]],Table1[[#This Row],[Current coupon %]],Table1[[#This Row],[Yield (Annualised)]]+$AE$2,100,Table1[[#This Row],[Coupon Frequency2]])*Table1[[#This Row],[Face value]]/100</f>
        <v>99570.245203117927</v>
      </c>
      <c r="AE236" s="28">
        <f>PRICE(Table1[[#This Row],[Issue date]],Table1[[#This Row],[Maturity date]],Table1[[#This Row],[Current coupon %]],Table1[[#This Row],[Yield (Annualised)]]-$AE$2,100,Table1[[#This Row],[Coupon Frequency2]])*Table1[[#This Row],[Face value]]/100</f>
        <v>103216.18865866741</v>
      </c>
      <c r="AF236" s="28">
        <f>(Table1[[#This Row],[P (+ shock)]]+Table1[[#This Row],[P (-shock)]]-2*Table1[[#This Row],[Ask Price]])/(2*Table1[[#This Row],[Ask Price]]*($AE$2^2))</f>
        <v>1.9212994304701092</v>
      </c>
    </row>
    <row r="237" spans="1:32" x14ac:dyDescent="0.25">
      <c r="A237" s="21" t="s">
        <v>536</v>
      </c>
      <c r="B237" s="3" t="s">
        <v>537</v>
      </c>
      <c r="C237" s="3" t="s">
        <v>19</v>
      </c>
      <c r="D237" s="4">
        <v>45560</v>
      </c>
      <c r="E237" s="4">
        <v>47386</v>
      </c>
      <c r="F237" s="3">
        <v>1000</v>
      </c>
      <c r="G237" s="3" t="s">
        <v>20</v>
      </c>
      <c r="H237" s="3">
        <v>1070</v>
      </c>
      <c r="I237" s="3" t="s">
        <v>20</v>
      </c>
      <c r="J237" s="3">
        <v>107</v>
      </c>
      <c r="K237" s="3">
        <v>50</v>
      </c>
      <c r="L237" s="5">
        <v>0.105</v>
      </c>
      <c r="M237" s="3" t="s">
        <v>21</v>
      </c>
      <c r="N237" s="3">
        <v>1469</v>
      </c>
      <c r="O237" s="6">
        <f>Table1[[#This Row],[Current coupon %]]*Table1[[#This Row],[Face value]]/Table1[[#This Row],[Ask Price]]</f>
        <v>9.8130841121495324E-2</v>
      </c>
      <c r="P237" s="3"/>
      <c r="Q237" s="3" t="s">
        <v>22</v>
      </c>
      <c r="R237">
        <f t="shared" si="3"/>
        <v>5</v>
      </c>
      <c r="S237" s="22" cm="1">
        <f t="array" ref="S237">_xlfn.IFS(Table1[[#This Row],[Coupon frequency]]="Semi-annual",2,Table1[[#This Row],[Coupon frequency]]="Quarterly",4,Table1[[#This Row],[Coupon frequency]]="Annual",1,Table1[[#This Row],[Coupon frequency]]="Every 4 months",3,Table1[[#This Row],[Coupon frequency]]="Monthly",12)</f>
        <v>1</v>
      </c>
      <c r="T237">
        <f>Table1[[#This Row],[Term to Maturity (Years)]]*Table1[[#This Row],[Coupon Frequency2]]</f>
        <v>5</v>
      </c>
      <c r="U237">
        <f>Table1[[#This Row],[Face value]]*Table1[[#This Row],[Current coupon %]]/Table1[[#This Row],[Coupon Frequency2]]</f>
        <v>105</v>
      </c>
      <c r="V237" s="23">
        <f>RATE(Table1[[#This Row],[Total No. of Coupons]],Table1[[#This Row],[Coupon Amount]],-Table1[[#This Row],[Ask Price]],Table1[[#This Row],[Face value]])</f>
        <v>8.7137016713474971E-2</v>
      </c>
      <c r="W237" s="24">
        <f>Table1[[#This Row],[IRR]]*Table1[[#This Row],[Coupon Frequency2]]</f>
        <v>8.7137016713474971E-2</v>
      </c>
      <c r="X237" s="25" cm="1">
        <f t="array" ref="X2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7" s="26">
        <f>DURATION(Table1[[#This Row],[Issue date]],Table1[[#This Row],[Maturity date]],Table1[[#This Row],[Current coupon %]],Table1[[#This Row],[Yield (Annualised)]],Table1[[#This Row],[Coupon Frequency2]])</f>
        <v>4.1668432845686176</v>
      </c>
      <c r="Z237" s="26">
        <f>Table1[[#This Row],[Macaulay Duration in Years]]/(1+Table1[[#This Row],[IRR]])</f>
        <v>3.8328593549002732</v>
      </c>
      <c r="AA237" s="27">
        <f>VLOOKUP(Table1[[#This Row],[Yield Cluster]],'[1]Cluster Details'!$B$3:$C$16,2,0)</f>
        <v>7.8548801574189142E-2</v>
      </c>
      <c r="AB237" s="28">
        <f>PRICE(Table1[[#This Row],[Issue date]],Table1[[#This Row],[Maturity date]],Table1[[#This Row],[Current coupon %]],Table1[[#This Row],[Average Cluster Yield]],100,Table1[[#This Row],[Coupon Frequency2]])*Table1[[#This Row],[Face value]]/100</f>
        <v>1106.0171475719424</v>
      </c>
      <c r="AC237" s="27" t="str">
        <f>IF(Table1[[#This Row],[Ask Price]]&gt;Table1[[#This Row],[Calculated Bond Price]],"Rich","Cheap")</f>
        <v>Cheap</v>
      </c>
      <c r="AD237" s="28">
        <f>PRICE(Table1[[#This Row],[Issue date]],Table1[[#This Row],[Maturity date]],Table1[[#This Row],[Current coupon %]],Table1[[#This Row],[Yield (Annualised)]]+$AE$2,100,Table1[[#This Row],[Coupon Frequency2]])*Table1[[#This Row],[Face value]]/100</f>
        <v>1030.0261861604495</v>
      </c>
      <c r="AE237" s="28">
        <f>PRICE(Table1[[#This Row],[Issue date]],Table1[[#This Row],[Maturity date]],Table1[[#This Row],[Current coupon %]],Table1[[#This Row],[Yield (Annualised)]]-$AE$2,100,Table1[[#This Row],[Coupon Frequency2]])*Table1[[#This Row],[Face value]]/100</f>
        <v>1112.0933499041325</v>
      </c>
      <c r="AF237" s="28">
        <f>(Table1[[#This Row],[P (+ shock)]]+Table1[[#This Row],[P (-shock)]]-2*Table1[[#This Row],[Ask Price]])/(2*Table1[[#This Row],[Ask Price]]*($AE$2^2))</f>
        <v>9.9043741335607809</v>
      </c>
    </row>
    <row r="238" spans="1:32" x14ac:dyDescent="0.25">
      <c r="A238" s="21" t="s">
        <v>538</v>
      </c>
      <c r="B238" s="3" t="s">
        <v>539</v>
      </c>
      <c r="C238" s="3" t="s">
        <v>19</v>
      </c>
      <c r="D238" s="4">
        <v>43186</v>
      </c>
      <c r="E238" s="4">
        <v>46407</v>
      </c>
      <c r="F238" s="3">
        <v>1000000</v>
      </c>
      <c r="G238" s="3" t="s">
        <v>20</v>
      </c>
      <c r="H238" s="3">
        <v>1035000</v>
      </c>
      <c r="I238" s="3" t="s">
        <v>20</v>
      </c>
      <c r="J238" s="3">
        <v>103.49999999999901</v>
      </c>
      <c r="K238" s="3">
        <v>1</v>
      </c>
      <c r="L238" s="5">
        <v>0.10150000000000001</v>
      </c>
      <c r="M238" s="3" t="s">
        <v>44</v>
      </c>
      <c r="N238" s="3">
        <v>490</v>
      </c>
      <c r="O238" s="6">
        <f>Table1[[#This Row],[Current coupon %]]*Table1[[#This Row],[Face value]]/Table1[[#This Row],[Ask Price]]</f>
        <v>9.8067632850241546E-2</v>
      </c>
      <c r="P238" s="3"/>
      <c r="Q238" s="3" t="s">
        <v>22</v>
      </c>
      <c r="R238">
        <f t="shared" si="3"/>
        <v>9</v>
      </c>
      <c r="S238" s="22" cm="1">
        <f t="array" ref="S238">_xlfn.IFS(Table1[[#This Row],[Coupon frequency]]="Semi-annual",2,Table1[[#This Row],[Coupon frequency]]="Quarterly",4,Table1[[#This Row],[Coupon frequency]]="Annual",1,Table1[[#This Row],[Coupon frequency]]="Every 4 months",3,Table1[[#This Row],[Coupon frequency]]="Monthly",12)</f>
        <v>4</v>
      </c>
      <c r="T238">
        <f>Table1[[#This Row],[Term to Maturity (Years)]]*Table1[[#This Row],[Coupon Frequency2]]</f>
        <v>36</v>
      </c>
      <c r="U238">
        <f>Table1[[#This Row],[Face value]]*Table1[[#This Row],[Current coupon %]]/Table1[[#This Row],[Coupon Frequency2]]</f>
        <v>25375</v>
      </c>
      <c r="V238" s="23">
        <f>RATE(Table1[[#This Row],[Total No. of Coupons]],Table1[[#This Row],[Coupon Amount]],-Table1[[#This Row],[Ask Price]],Table1[[#This Row],[Face value]])</f>
        <v>2.3914065357467165E-2</v>
      </c>
      <c r="W238" s="24">
        <f>Table1[[#This Row],[IRR]]*Table1[[#This Row],[Coupon Frequency2]]</f>
        <v>9.5656261429868661E-2</v>
      </c>
      <c r="X238" s="25" cm="1">
        <f t="array" ref="X2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8" s="26">
        <f>DURATION(Table1[[#This Row],[Issue date]],Table1[[#This Row],[Maturity date]],Table1[[#This Row],[Current coupon %]],Table1[[#This Row],[Yield (Annualised)]],Table1[[#This Row],[Coupon Frequency2]])</f>
        <v>5.8741494786223898</v>
      </c>
      <c r="Z238" s="26">
        <f>Table1[[#This Row],[Macaulay Duration in Years]]/(1+Table1[[#This Row],[IRR]])</f>
        <v>5.7369555486784103</v>
      </c>
      <c r="AA238" s="27">
        <f>VLOOKUP(Table1[[#This Row],[Yield Cluster]],'[1]Cluster Details'!$B$3:$C$16,2,0)</f>
        <v>7.8548801574189142E-2</v>
      </c>
      <c r="AB238" s="28">
        <f>PRICE(Table1[[#This Row],[Issue date]],Table1[[#This Row],[Maturity date]],Table1[[#This Row],[Current coupon %]],Table1[[#This Row],[Average Cluster Yield]],100,Table1[[#This Row],[Coupon Frequency2]])*Table1[[#This Row],[Face value]]/100</f>
        <v>1144942.9059559952</v>
      </c>
      <c r="AC238" s="27" t="str">
        <f>IF(Table1[[#This Row],[Ask Price]]&gt;Table1[[#This Row],[Calculated Bond Price]],"Rich","Cheap")</f>
        <v>Cheap</v>
      </c>
      <c r="AD238" s="28">
        <f>PRICE(Table1[[#This Row],[Issue date]],Table1[[#This Row],[Maturity date]],Table1[[#This Row],[Current coupon %]],Table1[[#This Row],[Yield (Annualised)]]+$AE$2,100,Table1[[#This Row],[Coupon Frequency2]])*Table1[[#This Row],[Face value]]/100</f>
        <v>976289.37038933183</v>
      </c>
      <c r="AE238" s="28">
        <f>PRICE(Table1[[#This Row],[Issue date]],Table1[[#This Row],[Maturity date]],Table1[[#This Row],[Current coupon %]],Table1[[#This Row],[Yield (Annualised)]]-$AE$2,100,Table1[[#This Row],[Coupon Frequency2]])*Table1[[#This Row],[Face value]]/100</f>
        <v>1097281.5530414889</v>
      </c>
      <c r="AF238" s="28">
        <f>(Table1[[#This Row],[P (+ shock)]]+Table1[[#This Row],[P (-shock)]]-2*Table1[[#This Row],[Ask Price]])/(2*Table1[[#This Row],[Ask Price]]*($AE$2^2))</f>
        <v>17.250837830051662</v>
      </c>
    </row>
    <row r="239" spans="1:32" x14ac:dyDescent="0.25">
      <c r="A239" s="21" t="s">
        <v>540</v>
      </c>
      <c r="B239" s="3" t="s">
        <v>541</v>
      </c>
      <c r="C239" s="3" t="s">
        <v>19</v>
      </c>
      <c r="D239" s="4">
        <v>44946</v>
      </c>
      <c r="E239" s="4">
        <v>46772</v>
      </c>
      <c r="F239" s="3">
        <v>1000</v>
      </c>
      <c r="G239" s="3" t="s">
        <v>20</v>
      </c>
      <c r="H239" s="3">
        <v>1030</v>
      </c>
      <c r="I239" s="3" t="s">
        <v>20</v>
      </c>
      <c r="J239" s="3">
        <v>103</v>
      </c>
      <c r="K239" s="3">
        <v>112</v>
      </c>
      <c r="L239" s="5">
        <v>0.10099999999999999</v>
      </c>
      <c r="M239" s="3" t="s">
        <v>21</v>
      </c>
      <c r="N239" s="3">
        <v>855</v>
      </c>
      <c r="O239" s="6">
        <f>Table1[[#This Row],[Current coupon %]]*Table1[[#This Row],[Face value]]/Table1[[#This Row],[Ask Price]]</f>
        <v>9.8058252427184453E-2</v>
      </c>
      <c r="P239" s="3"/>
      <c r="Q239" s="3" t="s">
        <v>22</v>
      </c>
      <c r="R239">
        <f t="shared" si="3"/>
        <v>5</v>
      </c>
      <c r="S239" s="22" cm="1">
        <f t="array" ref="S239">_xlfn.IFS(Table1[[#This Row],[Coupon frequency]]="Semi-annual",2,Table1[[#This Row],[Coupon frequency]]="Quarterly",4,Table1[[#This Row],[Coupon frequency]]="Annual",1,Table1[[#This Row],[Coupon frequency]]="Every 4 months",3,Table1[[#This Row],[Coupon frequency]]="Monthly",12)</f>
        <v>1</v>
      </c>
      <c r="T239">
        <f>Table1[[#This Row],[Term to Maturity (Years)]]*Table1[[#This Row],[Coupon Frequency2]]</f>
        <v>5</v>
      </c>
      <c r="U239">
        <f>Table1[[#This Row],[Face value]]*Table1[[#This Row],[Current coupon %]]/Table1[[#This Row],[Coupon Frequency2]]</f>
        <v>100.99999999999999</v>
      </c>
      <c r="V239" s="23">
        <f>RATE(Table1[[#This Row],[Total No. of Coupons]],Table1[[#This Row],[Coupon Amount]],-Table1[[#This Row],[Ask Price]],Table1[[#This Row],[Face value]])</f>
        <v>9.3222627277613365E-2</v>
      </c>
      <c r="W239" s="24">
        <f>Table1[[#This Row],[IRR]]*Table1[[#This Row],[Coupon Frequency2]]</f>
        <v>9.3222627277613365E-2</v>
      </c>
      <c r="X239" s="25" cm="1">
        <f t="array" ref="X2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39" s="26">
        <f>DURATION(Table1[[#This Row],[Issue date]],Table1[[#This Row],[Maturity date]],Table1[[#This Row],[Current coupon %]],Table1[[#This Row],[Yield (Annualised)]],Table1[[#This Row],[Coupon Frequency2]])</f>
        <v>4.1763164955029302</v>
      </c>
      <c r="Z239" s="26">
        <f>Table1[[#This Row],[Macaulay Duration in Years]]/(1+Table1[[#This Row],[IRR]])</f>
        <v>3.8201884879596393</v>
      </c>
      <c r="AA239" s="27">
        <f>VLOOKUP(Table1[[#This Row],[Yield Cluster]],'[1]Cluster Details'!$B$3:$C$16,2,0)</f>
        <v>7.8548801574189142E-2</v>
      </c>
      <c r="AB239" s="28">
        <f>PRICE(Table1[[#This Row],[Issue date]],Table1[[#This Row],[Maturity date]],Table1[[#This Row],[Current coupon %]],Table1[[#This Row],[Average Cluster Yield]],100,Table1[[#This Row],[Coupon Frequency2]])*Table1[[#This Row],[Face value]]/100</f>
        <v>1089.9850350203249</v>
      </c>
      <c r="AC239" s="27" t="str">
        <f>IF(Table1[[#This Row],[Ask Price]]&gt;Table1[[#This Row],[Calculated Bond Price]],"Rich","Cheap")</f>
        <v>Cheap</v>
      </c>
      <c r="AD239" s="28">
        <f>PRICE(Table1[[#This Row],[Issue date]],Table1[[#This Row],[Maturity date]],Table1[[#This Row],[Current coupon %]],Table1[[#This Row],[Yield (Annualised)]]+$AE$2,100,Table1[[#This Row],[Coupon Frequency2]])*Table1[[#This Row],[Face value]]/100</f>
        <v>991.6434027415296</v>
      </c>
      <c r="AE239" s="28">
        <f>PRICE(Table1[[#This Row],[Issue date]],Table1[[#This Row],[Maturity date]],Table1[[#This Row],[Current coupon %]],Table1[[#This Row],[Yield (Annualised)]]-$AE$2,100,Table1[[#This Row],[Coupon Frequency2]])*Table1[[#This Row],[Face value]]/100</f>
        <v>1070.3810808113119</v>
      </c>
      <c r="AF239" s="28">
        <f>(Table1[[#This Row],[P (+ shock)]]+Table1[[#This Row],[P (-shock)]]-2*Table1[[#This Row],[Ask Price]])/(2*Table1[[#This Row],[Ask Price]]*($AE$2^2))</f>
        <v>9.8275900623373893</v>
      </c>
    </row>
    <row r="240" spans="1:32" x14ac:dyDescent="0.25">
      <c r="A240" s="21" t="s">
        <v>542</v>
      </c>
      <c r="B240" s="3" t="s">
        <v>543</v>
      </c>
      <c r="C240" s="3" t="s">
        <v>19</v>
      </c>
      <c r="D240" s="4">
        <v>45551</v>
      </c>
      <c r="E240" s="4">
        <v>47742</v>
      </c>
      <c r="F240" s="3">
        <v>1000</v>
      </c>
      <c r="G240" s="3" t="s">
        <v>20</v>
      </c>
      <c r="H240" s="3">
        <v>1030</v>
      </c>
      <c r="I240" s="3" t="s">
        <v>20</v>
      </c>
      <c r="J240" s="3">
        <v>103</v>
      </c>
      <c r="K240" s="3">
        <v>20</v>
      </c>
      <c r="L240" s="5">
        <v>0.10099999999999999</v>
      </c>
      <c r="M240" s="3" t="s">
        <v>21</v>
      </c>
      <c r="N240" s="3">
        <v>1825</v>
      </c>
      <c r="O240" s="6">
        <f>Table1[[#This Row],[Current coupon %]]*Table1[[#This Row],[Face value]]/Table1[[#This Row],[Ask Price]]</f>
        <v>9.8058252427184453E-2</v>
      </c>
      <c r="P240" s="3"/>
      <c r="Q240" s="3" t="s">
        <v>22</v>
      </c>
      <c r="R240">
        <f t="shared" si="3"/>
        <v>6</v>
      </c>
      <c r="S240" s="22" cm="1">
        <f t="array" ref="S240">_xlfn.IFS(Table1[[#This Row],[Coupon frequency]]="Semi-annual",2,Table1[[#This Row],[Coupon frequency]]="Quarterly",4,Table1[[#This Row],[Coupon frequency]]="Annual",1,Table1[[#This Row],[Coupon frequency]]="Every 4 months",3,Table1[[#This Row],[Coupon frequency]]="Monthly",12)</f>
        <v>1</v>
      </c>
      <c r="T240">
        <f>Table1[[#This Row],[Term to Maturity (Years)]]*Table1[[#This Row],[Coupon Frequency2]]</f>
        <v>6</v>
      </c>
      <c r="U240">
        <f>Table1[[#This Row],[Face value]]*Table1[[#This Row],[Current coupon %]]/Table1[[#This Row],[Coupon Frequency2]]</f>
        <v>100.99999999999999</v>
      </c>
      <c r="V240" s="23">
        <f>RATE(Table1[[#This Row],[Total No. of Coupons]],Table1[[#This Row],[Coupon Amount]],-Table1[[#This Row],[Ask Price]],Table1[[#This Row],[Face value]])</f>
        <v>9.4227885085038571E-2</v>
      </c>
      <c r="W240" s="24">
        <f>Table1[[#This Row],[IRR]]*Table1[[#This Row],[Coupon Frequency2]]</f>
        <v>9.4227885085038571E-2</v>
      </c>
      <c r="X240" s="25" cm="1">
        <f t="array" ref="X2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40" s="26">
        <f>DURATION(Table1[[#This Row],[Issue date]],Table1[[#This Row],[Maturity date]],Table1[[#This Row],[Current coupon %]],Table1[[#This Row],[Yield (Annualised)]],Table1[[#This Row],[Coupon Frequency2]])</f>
        <v>4.8004986216220544</v>
      </c>
      <c r="Z240" s="26">
        <f>Table1[[#This Row],[Macaulay Duration in Years]]/(1+Table1[[#This Row],[IRR]])</f>
        <v>4.3871104795039839</v>
      </c>
      <c r="AA240" s="27">
        <f>VLOOKUP(Table1[[#This Row],[Yield Cluster]],'[1]Cluster Details'!$B$3:$C$16,2,0)</f>
        <v>7.8548801574189142E-2</v>
      </c>
      <c r="AB240" s="28">
        <f>PRICE(Table1[[#This Row],[Issue date]],Table1[[#This Row],[Maturity date]],Table1[[#This Row],[Current coupon %]],Table1[[#This Row],[Average Cluster Yield]],100,Table1[[#This Row],[Coupon Frequency2]])*Table1[[#This Row],[Face value]]/100</f>
        <v>1104.2477014318038</v>
      </c>
      <c r="AC240" s="27" t="str">
        <f>IF(Table1[[#This Row],[Ask Price]]&gt;Table1[[#This Row],[Calculated Bond Price]],"Rich","Cheap")</f>
        <v>Cheap</v>
      </c>
      <c r="AD240" s="28">
        <f>PRICE(Table1[[#This Row],[Issue date]],Table1[[#This Row],[Maturity date]],Table1[[#This Row],[Current coupon %]],Table1[[#This Row],[Yield (Annualised)]]+$AE$2,100,Table1[[#This Row],[Coupon Frequency2]])*Table1[[#This Row],[Face value]]/100</f>
        <v>986.11420158361898</v>
      </c>
      <c r="AE240" s="28">
        <f>PRICE(Table1[[#This Row],[Issue date]],Table1[[#This Row],[Maturity date]],Table1[[#This Row],[Current coupon %]],Table1[[#This Row],[Yield (Annualised)]]-$AE$2,100,Table1[[#This Row],[Coupon Frequency2]])*Table1[[#This Row],[Face value]]/100</f>
        <v>1076.5509557622263</v>
      </c>
      <c r="AF240" s="28">
        <f>(Table1[[#This Row],[P (+ shock)]]+Table1[[#This Row],[P (-shock)]]-2*Table1[[#This Row],[Ask Price]])/(2*Table1[[#This Row],[Ask Price]]*($AE$2^2))</f>
        <v>12.937657018666373</v>
      </c>
    </row>
    <row r="241" spans="1:32" x14ac:dyDescent="0.25">
      <c r="A241" s="21" t="s">
        <v>544</v>
      </c>
      <c r="B241" s="3" t="s">
        <v>545</v>
      </c>
      <c r="C241" s="3" t="s">
        <v>19</v>
      </c>
      <c r="D241" s="4">
        <v>45712</v>
      </c>
      <c r="E241" s="4">
        <v>47538</v>
      </c>
      <c r="F241" s="3">
        <v>1000</v>
      </c>
      <c r="G241" s="3" t="s">
        <v>20</v>
      </c>
      <c r="H241" s="3">
        <v>1010</v>
      </c>
      <c r="I241" s="3" t="s">
        <v>20</v>
      </c>
      <c r="J241" s="3">
        <v>101</v>
      </c>
      <c r="K241" s="3">
        <v>300</v>
      </c>
      <c r="L241" s="5">
        <v>9.9000000000000005E-2</v>
      </c>
      <c r="M241" s="3" t="s">
        <v>21</v>
      </c>
      <c r="N241" s="3">
        <v>1621</v>
      </c>
      <c r="O241" s="6">
        <f>Table1[[#This Row],[Current coupon %]]*Table1[[#This Row],[Face value]]/Table1[[#This Row],[Ask Price]]</f>
        <v>9.8019801980198024E-2</v>
      </c>
      <c r="P241" s="3"/>
      <c r="Q241" s="3" t="s">
        <v>22</v>
      </c>
      <c r="R241">
        <f t="shared" si="3"/>
        <v>5</v>
      </c>
      <c r="S241" s="22" cm="1">
        <f t="array" ref="S241">_xlfn.IFS(Table1[[#This Row],[Coupon frequency]]="Semi-annual",2,Table1[[#This Row],[Coupon frequency]]="Quarterly",4,Table1[[#This Row],[Coupon frequency]]="Annual",1,Table1[[#This Row],[Coupon frequency]]="Every 4 months",3,Table1[[#This Row],[Coupon frequency]]="Monthly",12)</f>
        <v>1</v>
      </c>
      <c r="T241">
        <f>Table1[[#This Row],[Term to Maturity (Years)]]*Table1[[#This Row],[Coupon Frequency2]]</f>
        <v>5</v>
      </c>
      <c r="U241">
        <f>Table1[[#This Row],[Face value]]*Table1[[#This Row],[Current coupon %]]/Table1[[#This Row],[Coupon Frequency2]]</f>
        <v>99</v>
      </c>
      <c r="V241" s="23">
        <f>RATE(Table1[[#This Row],[Total No. of Coupons]],Table1[[#This Row],[Coupon Amount]],-Table1[[#This Row],[Ask Price]],Table1[[#This Row],[Face value]])</f>
        <v>9.6386333786461706E-2</v>
      </c>
      <c r="W241" s="24">
        <f>Table1[[#This Row],[IRR]]*Table1[[#This Row],[Coupon Frequency2]]</f>
        <v>9.6386333786461706E-2</v>
      </c>
      <c r="X241" s="25" cm="1">
        <f t="array" ref="X2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41" s="26">
        <f>DURATION(Table1[[#This Row],[Issue date]],Table1[[#This Row],[Maturity date]],Table1[[#This Row],[Current coupon %]],Table1[[#This Row],[Yield (Annualised)]],Table1[[#This Row],[Coupon Frequency2]])</f>
        <v>4.1811761081985566</v>
      </c>
      <c r="Z241" s="26">
        <f>Table1[[#This Row],[Macaulay Duration in Years]]/(1+Table1[[#This Row],[IRR]])</f>
        <v>3.8135974330859415</v>
      </c>
      <c r="AA241" s="27">
        <f>VLOOKUP(Table1[[#This Row],[Yield Cluster]],'[1]Cluster Details'!$B$3:$C$16,2,0)</f>
        <v>7.8548801574189142E-2</v>
      </c>
      <c r="AB241" s="28">
        <f>PRICE(Table1[[#This Row],[Issue date]],Table1[[#This Row],[Maturity date]],Table1[[#This Row],[Current coupon %]],Table1[[#This Row],[Average Cluster Yield]],100,Table1[[#This Row],[Coupon Frequency2]])*Table1[[#This Row],[Face value]]/100</f>
        <v>1081.9689787445161</v>
      </c>
      <c r="AC241" s="27" t="str">
        <f>IF(Table1[[#This Row],[Ask Price]]&gt;Table1[[#This Row],[Calculated Bond Price]],"Rich","Cheap")</f>
        <v>Cheap</v>
      </c>
      <c r="AD241" s="28">
        <f>PRICE(Table1[[#This Row],[Issue date]],Table1[[#This Row],[Maturity date]],Table1[[#This Row],[Current coupon %]],Table1[[#This Row],[Yield (Annualised)]]+$AE$2,100,Table1[[#This Row],[Coupon Frequency2]])*Table1[[#This Row],[Face value]]/100</f>
        <v>972.45088350168226</v>
      </c>
      <c r="AE241" s="28">
        <f>PRICE(Table1[[#This Row],[Issue date]],Table1[[#This Row],[Maturity date]],Table1[[#This Row],[Current coupon %]],Table1[[#This Row],[Yield (Annualised)]]-$AE$2,100,Table1[[#This Row],[Coupon Frequency2]])*Table1[[#This Row],[Face value]]/100</f>
        <v>1049.5262655024305</v>
      </c>
      <c r="AF241" s="28">
        <f>(Table1[[#This Row],[P (+ shock)]]+Table1[[#This Row],[P (-shock)]]-2*Table1[[#This Row],[Ask Price]])/(2*Table1[[#This Row],[Ask Price]]*($AE$2^2))</f>
        <v>9.7878663569940052</v>
      </c>
    </row>
    <row r="242" spans="1:32" x14ac:dyDescent="0.25">
      <c r="A242" s="21" t="s">
        <v>546</v>
      </c>
      <c r="B242" s="3" t="s">
        <v>547</v>
      </c>
      <c r="C242" s="3" t="s">
        <v>19</v>
      </c>
      <c r="D242" s="4">
        <v>45650</v>
      </c>
      <c r="E242" s="4">
        <v>46197</v>
      </c>
      <c r="F242" s="3">
        <v>10000</v>
      </c>
      <c r="G242" s="3" t="s">
        <v>20</v>
      </c>
      <c r="H242" s="3">
        <v>9937.2900000000009</v>
      </c>
      <c r="I242" s="3" t="s">
        <v>20</v>
      </c>
      <c r="J242" s="3">
        <v>99.372900000000001</v>
      </c>
      <c r="K242" s="3">
        <v>12</v>
      </c>
      <c r="L242" s="5">
        <v>9.74E-2</v>
      </c>
      <c r="M242" s="3" t="s">
        <v>44</v>
      </c>
      <c r="N242" s="3">
        <v>280</v>
      </c>
      <c r="O242" s="6">
        <f>Table1[[#This Row],[Current coupon %]]*Table1[[#This Row],[Face value]]/Table1[[#This Row],[Ask Price]]</f>
        <v>9.8014649869330561E-2</v>
      </c>
      <c r="P242" s="3"/>
      <c r="Q242" s="3" t="s">
        <v>22</v>
      </c>
      <c r="R242">
        <f t="shared" si="3"/>
        <v>2</v>
      </c>
      <c r="S242" s="22" cm="1">
        <f t="array" ref="S242">_xlfn.IFS(Table1[[#This Row],[Coupon frequency]]="Semi-annual",2,Table1[[#This Row],[Coupon frequency]]="Quarterly",4,Table1[[#This Row],[Coupon frequency]]="Annual",1,Table1[[#This Row],[Coupon frequency]]="Every 4 months",3,Table1[[#This Row],[Coupon frequency]]="Monthly",12)</f>
        <v>4</v>
      </c>
      <c r="T242">
        <f>Table1[[#This Row],[Term to Maturity (Years)]]*Table1[[#This Row],[Coupon Frequency2]]</f>
        <v>8</v>
      </c>
      <c r="U242">
        <f>Table1[[#This Row],[Face value]]*Table1[[#This Row],[Current coupon %]]/Table1[[#This Row],[Coupon Frequency2]]</f>
        <v>243.5</v>
      </c>
      <c r="V242" s="23">
        <f>RATE(Table1[[#This Row],[Total No. of Coupons]],Table1[[#This Row],[Coupon Amount]],-Table1[[#This Row],[Ask Price]],Table1[[#This Row],[Face value]])</f>
        <v>2.5225440631714845E-2</v>
      </c>
      <c r="W242" s="24">
        <f>Table1[[#This Row],[IRR]]*Table1[[#This Row],[Coupon Frequency2]]</f>
        <v>0.10090176252685938</v>
      </c>
      <c r="X242" s="25" cm="1">
        <f t="array" ref="X2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42" s="26">
        <f>DURATION(Table1[[#This Row],[Issue date]],Table1[[#This Row],[Maturity date]],Table1[[#This Row],[Current coupon %]],Table1[[#This Row],[Yield (Annualised)]],Table1[[#This Row],[Coupon Frequency2]])</f>
        <v>1.4133854124277883</v>
      </c>
      <c r="Z242" s="26">
        <f>Table1[[#This Row],[Macaulay Duration in Years]]/(1+Table1[[#This Row],[IRR]])</f>
        <v>1.3786093832756434</v>
      </c>
      <c r="AA242" s="27">
        <f>VLOOKUP(Table1[[#This Row],[Yield Cluster]],'[1]Cluster Details'!$B$3:$C$16,2,0)</f>
        <v>0.11069942689191503</v>
      </c>
      <c r="AB242" s="28">
        <f>PRICE(Table1[[#This Row],[Issue date]],Table1[[#This Row],[Maturity date]],Table1[[#This Row],[Current coupon %]],Table1[[#This Row],[Average Cluster Yield]],100,Table1[[#This Row],[Coupon Frequency2]])*Table1[[#This Row],[Face value]]/100</f>
        <v>9818.4898130030797</v>
      </c>
      <c r="AC242" s="27" t="str">
        <f>IF(Table1[[#This Row],[Ask Price]]&gt;Table1[[#This Row],[Calculated Bond Price]],"Rich","Cheap")</f>
        <v>Rich</v>
      </c>
      <c r="AD242" s="28">
        <f>PRICE(Table1[[#This Row],[Issue date]],Table1[[#This Row],[Maturity date]],Table1[[#This Row],[Current coupon %]],Table1[[#This Row],[Yield (Annualised)]]+$AE$2,100,Table1[[#This Row],[Coupon Frequency2]])*Table1[[#This Row],[Face value]]/100</f>
        <v>9815.7593619134914</v>
      </c>
      <c r="AE242" s="28">
        <f>PRICE(Table1[[#This Row],[Issue date]],Table1[[#This Row],[Maturity date]],Table1[[#This Row],[Current coupon %]],Table1[[#This Row],[Yield (Annualised)]]-$AE$2,100,Table1[[#This Row],[Coupon Frequency2]])*Table1[[#This Row],[Face value]]/100</f>
        <v>10090.167470682723</v>
      </c>
      <c r="AF242" s="28">
        <f>(Table1[[#This Row],[P (+ shock)]]+Table1[[#This Row],[P (-shock)]]-2*Table1[[#This Row],[Ask Price]])/(2*Table1[[#This Row],[Ask Price]]*($AE$2^2))</f>
        <v>15.772324545330296</v>
      </c>
    </row>
    <row r="243" spans="1:32" x14ac:dyDescent="0.25">
      <c r="A243" s="21" t="s">
        <v>79</v>
      </c>
      <c r="B243" s="3" t="s">
        <v>80</v>
      </c>
      <c r="C243" s="3" t="s">
        <v>19</v>
      </c>
      <c r="D243" s="4">
        <v>45464</v>
      </c>
      <c r="E243" s="4">
        <v>46559</v>
      </c>
      <c r="F243" s="3">
        <v>1000</v>
      </c>
      <c r="G243" s="3" t="s">
        <v>20</v>
      </c>
      <c r="H243" s="3">
        <v>1015.99</v>
      </c>
      <c r="I243" s="3" t="s">
        <v>20</v>
      </c>
      <c r="J243" s="3">
        <v>101.59899999999899</v>
      </c>
      <c r="K243" s="3">
        <v>124</v>
      </c>
      <c r="L243" s="5">
        <v>0.1</v>
      </c>
      <c r="M243" s="3" t="s">
        <v>21</v>
      </c>
      <c r="N243" s="3">
        <v>642</v>
      </c>
      <c r="O243" s="6">
        <f>Table1[[#This Row],[Current coupon %]]*Table1[[#This Row],[Face value]]/Table1[[#This Row],[Ask Price]]</f>
        <v>9.8426165611866262E-2</v>
      </c>
      <c r="P243" s="3"/>
      <c r="Q243" s="3" t="s">
        <v>22</v>
      </c>
      <c r="R243">
        <f t="shared" si="3"/>
        <v>3</v>
      </c>
      <c r="S243" s="22" cm="1">
        <f t="array" ref="S243">_xlfn.IFS(Table1[[#This Row],[Coupon frequency]]="Semi-annual",2,Table1[[#This Row],[Coupon frequency]]="Quarterly",4,Table1[[#This Row],[Coupon frequency]]="Annual",1,Table1[[#This Row],[Coupon frequency]]="Every 4 months",3,Table1[[#This Row],[Coupon frequency]]="Monthly",12)</f>
        <v>1</v>
      </c>
      <c r="T243">
        <f>Table1[[#This Row],[Term to Maturity (Years)]]*Table1[[#This Row],[Coupon Frequency2]]</f>
        <v>3</v>
      </c>
      <c r="U243">
        <f>Table1[[#This Row],[Face value]]*Table1[[#This Row],[Current coupon %]]/Table1[[#This Row],[Coupon Frequency2]]</f>
        <v>100</v>
      </c>
      <c r="V243" s="23">
        <f>RATE(Table1[[#This Row],[Total No. of Coupons]],Table1[[#This Row],[Coupon Amount]],-Table1[[#This Row],[Ask Price]],Table1[[#This Row],[Face value]])</f>
        <v>9.364203083573501E-2</v>
      </c>
      <c r="W243" s="24">
        <f>Table1[[#This Row],[IRR]]*Table1[[#This Row],[Coupon Frequency2]]</f>
        <v>9.364203083573501E-2</v>
      </c>
      <c r="X243" s="25" cm="1">
        <f t="array" ref="X2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43" s="26">
        <f>DURATION(Table1[[#This Row],[Issue date]],Table1[[#This Row],[Maturity date]],Table1[[#This Row],[Current coupon %]],Table1[[#This Row],[Yield (Annualised)]],Table1[[#This Row],[Coupon Frequency2]])</f>
        <v>2.7377104715798</v>
      </c>
      <c r="Z243" s="26">
        <f>Table1[[#This Row],[Macaulay Duration in Years]]/(1+Table1[[#This Row],[IRR]])</f>
        <v>2.5032966861082571</v>
      </c>
      <c r="AA243" s="27">
        <f>VLOOKUP(Table1[[#This Row],[Yield Cluster]],'[1]Cluster Details'!$B$3:$C$16,2,0)</f>
        <v>7.8548801574189142E-2</v>
      </c>
      <c r="AB243" s="28">
        <f>PRICE(Table1[[#This Row],[Issue date]],Table1[[#This Row],[Maturity date]],Table1[[#This Row],[Current coupon %]],Table1[[#This Row],[Average Cluster Yield]],100,Table1[[#This Row],[Coupon Frequency2]])*Table1[[#This Row],[Face value]]/100</f>
        <v>1055.4268965673293</v>
      </c>
      <c r="AC243" s="27" t="str">
        <f>IF(Table1[[#This Row],[Ask Price]]&gt;Table1[[#This Row],[Calculated Bond Price]],"Rich","Cheap")</f>
        <v>Cheap</v>
      </c>
      <c r="AD243" s="28">
        <f>PRICE(Table1[[#This Row],[Issue date]],Table1[[#This Row],[Maturity date]],Table1[[#This Row],[Current coupon %]],Table1[[#This Row],[Yield (Annualised)]]+$AE$2,100,Table1[[#This Row],[Coupon Frequency2]])*Table1[[#This Row],[Face value]]/100</f>
        <v>991.00056768251147</v>
      </c>
      <c r="AE243" s="28">
        <f>PRICE(Table1[[#This Row],[Issue date]],Table1[[#This Row],[Maturity date]],Table1[[#This Row],[Current coupon %]],Table1[[#This Row],[Yield (Annualised)]]-$AE$2,100,Table1[[#This Row],[Coupon Frequency2]])*Table1[[#This Row],[Face value]]/100</f>
        <v>1041.8805671145662</v>
      </c>
      <c r="AF243" s="28">
        <f>(Table1[[#This Row],[P (+ shock)]]+Table1[[#This Row],[P (-shock)]]-2*Table1[[#This Row],[Ask Price]])/(2*Table1[[#This Row],[Ask Price]]*($AE$2^2))</f>
        <v>4.4347621387892708</v>
      </c>
    </row>
    <row r="244" spans="1:32" x14ac:dyDescent="0.25">
      <c r="A244" s="21" t="s">
        <v>548</v>
      </c>
      <c r="B244" s="3" t="s">
        <v>549</v>
      </c>
      <c r="C244" s="3" t="s">
        <v>19</v>
      </c>
      <c r="D244" s="4">
        <v>45274</v>
      </c>
      <c r="E244" s="4">
        <v>46370</v>
      </c>
      <c r="F244" s="3">
        <v>1000</v>
      </c>
      <c r="G244" s="3" t="s">
        <v>20</v>
      </c>
      <c r="H244" s="3">
        <v>1049.5</v>
      </c>
      <c r="I244" s="3" t="s">
        <v>20</v>
      </c>
      <c r="J244" s="3">
        <v>104.95</v>
      </c>
      <c r="K244" s="3">
        <v>33</v>
      </c>
      <c r="L244" s="5">
        <v>0.1225</v>
      </c>
      <c r="M244" s="3" t="s">
        <v>21</v>
      </c>
      <c r="N244" s="3">
        <v>453</v>
      </c>
      <c r="O244" s="6">
        <f>Table1[[#This Row],[Current coupon %]]*Table1[[#This Row],[Face value]]/Table1[[#This Row],[Ask Price]]</f>
        <v>0.11672224868985231</v>
      </c>
      <c r="P244" s="3"/>
      <c r="Q244" s="3" t="s">
        <v>22</v>
      </c>
      <c r="R244">
        <f t="shared" si="3"/>
        <v>3</v>
      </c>
      <c r="S244" s="22" cm="1">
        <f t="array" ref="S244">_xlfn.IFS(Table1[[#This Row],[Coupon frequency]]="Semi-annual",2,Table1[[#This Row],[Coupon frequency]]="Quarterly",4,Table1[[#This Row],[Coupon frequency]]="Annual",1,Table1[[#This Row],[Coupon frequency]]="Every 4 months",3,Table1[[#This Row],[Coupon frequency]]="Monthly",12)</f>
        <v>1</v>
      </c>
      <c r="T244">
        <f>Table1[[#This Row],[Term to Maturity (Years)]]*Table1[[#This Row],[Coupon Frequency2]]</f>
        <v>3</v>
      </c>
      <c r="U244">
        <f>Table1[[#This Row],[Face value]]*Table1[[#This Row],[Current coupon %]]/Table1[[#This Row],[Coupon Frequency2]]</f>
        <v>122.5</v>
      </c>
      <c r="V244" s="23">
        <f>RATE(Table1[[#This Row],[Total No. of Coupons]],Table1[[#This Row],[Coupon Amount]],-Table1[[#This Row],[Ask Price]],Table1[[#This Row],[Face value]])</f>
        <v>0.10250739300581647</v>
      </c>
      <c r="W244" s="24">
        <f>Table1[[#This Row],[IRR]]*Table1[[#This Row],[Coupon Frequency2]]</f>
        <v>0.10250739300581647</v>
      </c>
      <c r="X244" s="25" cm="1">
        <f t="array" ref="X2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44" s="26">
        <f>DURATION(Table1[[#This Row],[Issue date]],Table1[[#This Row],[Maturity date]],Table1[[#This Row],[Current coupon %]],Table1[[#This Row],[Yield (Annualised)]],Table1[[#This Row],[Coupon Frequency2]])</f>
        <v>2.6922339841372298</v>
      </c>
      <c r="Z244" s="26">
        <f>Table1[[#This Row],[Macaulay Duration in Years]]/(1+Table1[[#This Row],[IRR]])</f>
        <v>2.4419192118043478</v>
      </c>
      <c r="AA244" s="27">
        <f>VLOOKUP(Table1[[#This Row],[Yield Cluster]],'[1]Cluster Details'!$B$3:$C$16,2,0)</f>
        <v>0.11069942689191503</v>
      </c>
      <c r="AB244" s="28">
        <f>PRICE(Table1[[#This Row],[Issue date]],Table1[[#This Row],[Maturity date]],Table1[[#This Row],[Current coupon %]],Table1[[#This Row],[Average Cluster Yield]],100,Table1[[#This Row],[Coupon Frequency2]])*Table1[[#This Row],[Face value]]/100</f>
        <v>1028.8021907082405</v>
      </c>
      <c r="AC244" s="27" t="str">
        <f>IF(Table1[[#This Row],[Ask Price]]&gt;Table1[[#This Row],[Calculated Bond Price]],"Rich","Cheap")</f>
        <v>Rich</v>
      </c>
      <c r="AD244" s="28">
        <f>PRICE(Table1[[#This Row],[Issue date]],Table1[[#This Row],[Maturity date]],Table1[[#This Row],[Current coupon %]],Table1[[#This Row],[Yield (Annualised)]]+$AE$2,100,Table1[[#This Row],[Coupon Frequency2]])*Table1[[#This Row],[Face value]]/100</f>
        <v>1024.3129828427557</v>
      </c>
      <c r="AE244" s="28">
        <f>PRICE(Table1[[#This Row],[Issue date]],Table1[[#This Row],[Maturity date]],Table1[[#This Row],[Current coupon %]],Table1[[#This Row],[Yield (Annualised)]]-$AE$2,100,Table1[[#This Row],[Coupon Frequency2]])*Table1[[#This Row],[Face value]]/100</f>
        <v>1075.5821372795051</v>
      </c>
      <c r="AF244" s="28">
        <f>(Table1[[#This Row],[P (+ shock)]]+Table1[[#This Row],[P (-shock)]]-2*Table1[[#This Row],[Ask Price]])/(2*Table1[[#This Row],[Ask Price]]*($AE$2^2))</f>
        <v>4.2645074905230009</v>
      </c>
    </row>
    <row r="245" spans="1:32" x14ac:dyDescent="0.25">
      <c r="A245" s="21" t="s">
        <v>550</v>
      </c>
      <c r="B245" s="3" t="s">
        <v>551</v>
      </c>
      <c r="C245" s="3" t="s">
        <v>19</v>
      </c>
      <c r="D245" s="4">
        <v>45652</v>
      </c>
      <c r="E245" s="4">
        <v>46747</v>
      </c>
      <c r="F245" s="3">
        <v>1000</v>
      </c>
      <c r="G245" s="3" t="s">
        <v>20</v>
      </c>
      <c r="H245" s="3">
        <v>971</v>
      </c>
      <c r="I245" s="3" t="s">
        <v>20</v>
      </c>
      <c r="J245" s="3">
        <v>97.1</v>
      </c>
      <c r="K245" s="3">
        <v>305</v>
      </c>
      <c r="L245" s="5">
        <v>0.09</v>
      </c>
      <c r="M245" s="3" t="s">
        <v>21</v>
      </c>
      <c r="N245" s="3">
        <v>830</v>
      </c>
      <c r="O245" s="6">
        <f>Table1[[#This Row],[Current coupon %]]*Table1[[#This Row],[Face value]]/Table1[[#This Row],[Ask Price]]</f>
        <v>9.2687950566426369E-2</v>
      </c>
      <c r="P245" s="3"/>
      <c r="Q245" s="3" t="s">
        <v>22</v>
      </c>
      <c r="R245">
        <f t="shared" si="3"/>
        <v>3</v>
      </c>
      <c r="S245" s="22" cm="1">
        <f t="array" ref="S245">_xlfn.IFS(Table1[[#This Row],[Coupon frequency]]="Semi-annual",2,Table1[[#This Row],[Coupon frequency]]="Quarterly",4,Table1[[#This Row],[Coupon frequency]]="Annual",1,Table1[[#This Row],[Coupon frequency]]="Every 4 months",3,Table1[[#This Row],[Coupon frequency]]="Monthly",12)</f>
        <v>1</v>
      </c>
      <c r="T245">
        <f>Table1[[#This Row],[Term to Maturity (Years)]]*Table1[[#This Row],[Coupon Frequency2]]</f>
        <v>3</v>
      </c>
      <c r="U245">
        <f>Table1[[#This Row],[Face value]]*Table1[[#This Row],[Current coupon %]]/Table1[[#This Row],[Coupon Frequency2]]</f>
        <v>90</v>
      </c>
      <c r="V245" s="23">
        <f>RATE(Table1[[#This Row],[Total No. of Coupons]],Table1[[#This Row],[Coupon Amount]],-Table1[[#This Row],[Ask Price]],Table1[[#This Row],[Face value]])</f>
        <v>0.10169616726515268</v>
      </c>
      <c r="W245" s="24">
        <f>Table1[[#This Row],[IRR]]*Table1[[#This Row],[Coupon Frequency2]]</f>
        <v>0.10169616726515268</v>
      </c>
      <c r="X245" s="25" cm="1">
        <f t="array" ref="X2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45" s="26">
        <f>DURATION(Table1[[#This Row],[Issue date]],Table1[[#This Row],[Maturity date]],Table1[[#This Row],[Current coupon %]],Table1[[#This Row],[Yield (Annualised)]],Table1[[#This Row],[Coupon Frequency2]])</f>
        <v>2.7553699892269949</v>
      </c>
      <c r="Z245" s="26">
        <f>Table1[[#This Row],[Macaulay Duration in Years]]/(1+Table1[[#This Row],[IRR]])</f>
        <v>2.5010253018006927</v>
      </c>
      <c r="AA245" s="27">
        <f>VLOOKUP(Table1[[#This Row],[Yield Cluster]],'[1]Cluster Details'!$B$3:$C$16,2,0)</f>
        <v>0.11069942689191503</v>
      </c>
      <c r="AB245" s="28">
        <f>PRICE(Table1[[#This Row],[Issue date]],Table1[[#This Row],[Maturity date]],Table1[[#This Row],[Current coupon %]],Table1[[#This Row],[Average Cluster Yield]],100,Table1[[#This Row],[Coupon Frequency2]])*Table1[[#This Row],[Face value]]/100</f>
        <v>949.47797573630157</v>
      </c>
      <c r="AC245" s="27" t="str">
        <f>IF(Table1[[#This Row],[Ask Price]]&gt;Table1[[#This Row],[Calculated Bond Price]],"Rich","Cheap")</f>
        <v>Rich</v>
      </c>
      <c r="AD245" s="28">
        <f>PRICE(Table1[[#This Row],[Issue date]],Table1[[#This Row],[Maturity date]],Table1[[#This Row],[Current coupon %]],Table1[[#This Row],[Yield (Annualised)]]+$AE$2,100,Table1[[#This Row],[Coupon Frequency2]])*Table1[[#This Row],[Face value]]/100</f>
        <v>947.13677510710522</v>
      </c>
      <c r="AE245" s="28">
        <f>PRICE(Table1[[#This Row],[Issue date]],Table1[[#This Row],[Maturity date]],Table1[[#This Row],[Current coupon %]],Table1[[#This Row],[Yield (Annualised)]]-$AE$2,100,Table1[[#This Row],[Coupon Frequency2]])*Table1[[#This Row],[Face value]]/100</f>
        <v>995.71944675728116</v>
      </c>
      <c r="AF245" s="28">
        <f>(Table1[[#This Row],[P (+ shock)]]+Table1[[#This Row],[P (-shock)]]-2*Table1[[#This Row],[Ask Price]])/(2*Table1[[#This Row],[Ask Price]]*($AE$2^2))</f>
        <v>4.4089694355638418</v>
      </c>
    </row>
    <row r="246" spans="1:32" x14ac:dyDescent="0.25">
      <c r="A246" s="21" t="s">
        <v>552</v>
      </c>
      <c r="B246" s="3" t="s">
        <v>553</v>
      </c>
      <c r="C246" s="3" t="s">
        <v>19</v>
      </c>
      <c r="D246" s="4">
        <v>45854</v>
      </c>
      <c r="E246" s="4">
        <v>48045</v>
      </c>
      <c r="F246" s="3">
        <v>1000</v>
      </c>
      <c r="G246" s="3" t="s">
        <v>20</v>
      </c>
      <c r="H246" s="3">
        <v>1000.61</v>
      </c>
      <c r="I246" s="3" t="s">
        <v>20</v>
      </c>
      <c r="J246" s="3">
        <v>100.06100000000001</v>
      </c>
      <c r="K246" s="3">
        <v>114</v>
      </c>
      <c r="L246" s="5">
        <v>9.8000000000000004E-2</v>
      </c>
      <c r="M246" s="3" t="s">
        <v>21</v>
      </c>
      <c r="N246" s="3">
        <v>2128</v>
      </c>
      <c r="O246" s="6">
        <f>Table1[[#This Row],[Current coupon %]]*Table1[[#This Row],[Face value]]/Table1[[#This Row],[Ask Price]]</f>
        <v>9.7940256443569421E-2</v>
      </c>
      <c r="P246" s="3"/>
      <c r="Q246" s="3" t="s">
        <v>22</v>
      </c>
      <c r="R246">
        <f t="shared" si="3"/>
        <v>6</v>
      </c>
      <c r="S246" s="22" cm="1">
        <f t="array" ref="S246">_xlfn.IFS(Table1[[#This Row],[Coupon frequency]]="Semi-annual",2,Table1[[#This Row],[Coupon frequency]]="Quarterly",4,Table1[[#This Row],[Coupon frequency]]="Annual",1,Table1[[#This Row],[Coupon frequency]]="Every 4 months",3,Table1[[#This Row],[Coupon frequency]]="Monthly",12)</f>
        <v>1</v>
      </c>
      <c r="T246">
        <f>Table1[[#This Row],[Term to Maturity (Years)]]*Table1[[#This Row],[Coupon Frequency2]]</f>
        <v>6</v>
      </c>
      <c r="U246">
        <f>Table1[[#This Row],[Face value]]*Table1[[#This Row],[Current coupon %]]/Table1[[#This Row],[Coupon Frequency2]]</f>
        <v>98</v>
      </c>
      <c r="V246" s="23">
        <f>RATE(Table1[[#This Row],[Total No. of Coupons]],Table1[[#This Row],[Coupon Amount]],-Table1[[#This Row],[Ask Price]],Table1[[#This Row],[Face value]])</f>
        <v>9.7860816381760751E-2</v>
      </c>
      <c r="W246" s="24">
        <f>Table1[[#This Row],[IRR]]*Table1[[#This Row],[Coupon Frequency2]]</f>
        <v>9.7860816381760751E-2</v>
      </c>
      <c r="X246" s="25" cm="1">
        <f t="array" ref="X2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46" s="26">
        <f>DURATION(Table1[[#This Row],[Issue date]],Table1[[#This Row],[Maturity date]],Table1[[#This Row],[Current coupon %]],Table1[[#This Row],[Yield (Annualised)]],Table1[[#This Row],[Coupon Frequency2]])</f>
        <v>4.8106295484803034</v>
      </c>
      <c r="Z246" s="26">
        <f>Table1[[#This Row],[Macaulay Duration in Years]]/(1+Table1[[#This Row],[IRR]])</f>
        <v>4.3818209710177838</v>
      </c>
      <c r="AA246" s="27">
        <f>VLOOKUP(Table1[[#This Row],[Yield Cluster]],'[1]Cluster Details'!$B$3:$C$16,2,0)</f>
        <v>7.8548801574189142E-2</v>
      </c>
      <c r="AB246" s="28">
        <f>PRICE(Table1[[#This Row],[Issue date]],Table1[[#This Row],[Maturity date]],Table1[[#This Row],[Current coupon %]],Table1[[#This Row],[Average Cluster Yield]],100,Table1[[#This Row],[Coupon Frequency2]])*Table1[[#This Row],[Face value]]/100</f>
        <v>1090.3177945126315</v>
      </c>
      <c r="AC246" s="27" t="str">
        <f>IF(Table1[[#This Row],[Ask Price]]&gt;Table1[[#This Row],[Calculated Bond Price]],"Rich","Cheap")</f>
        <v>Cheap</v>
      </c>
      <c r="AD246" s="28">
        <f>PRICE(Table1[[#This Row],[Issue date]],Table1[[#This Row],[Maturity date]],Table1[[#This Row],[Current coupon %]],Table1[[#This Row],[Yield (Annualised)]]+$AE$2,100,Table1[[#This Row],[Coupon Frequency2]])*Table1[[#This Row],[Face value]]/100</f>
        <v>958.02509929450821</v>
      </c>
      <c r="AE246" s="28">
        <f>PRICE(Table1[[#This Row],[Issue date]],Table1[[#This Row],[Maturity date]],Table1[[#This Row],[Current coupon %]],Table1[[#This Row],[Yield (Annualised)]]-$AE$2,100,Table1[[#This Row],[Coupon Frequency2]])*Table1[[#This Row],[Face value]]/100</f>
        <v>1045.7751095424996</v>
      </c>
      <c r="AF246" s="28">
        <f>(Table1[[#This Row],[P (+ shock)]]+Table1[[#This Row],[P (-shock)]]-2*Table1[[#This Row],[Ask Price]])/(2*Table1[[#This Row],[Ask Price]]*($AE$2^2))</f>
        <v>12.893179345638314</v>
      </c>
    </row>
    <row r="247" spans="1:32" x14ac:dyDescent="0.25">
      <c r="A247" s="21" t="s">
        <v>554</v>
      </c>
      <c r="B247" s="3" t="s">
        <v>555</v>
      </c>
      <c r="C247" s="3" t="s">
        <v>19</v>
      </c>
      <c r="D247" s="4">
        <v>45827</v>
      </c>
      <c r="E247" s="4">
        <v>46923</v>
      </c>
      <c r="F247" s="3">
        <v>100000</v>
      </c>
      <c r="G247" s="3" t="s">
        <v>20</v>
      </c>
      <c r="H247" s="3">
        <v>96510.14</v>
      </c>
      <c r="I247" s="3" t="s">
        <v>20</v>
      </c>
      <c r="J247" s="3">
        <v>96.510140000000007</v>
      </c>
      <c r="K247" s="3">
        <v>1</v>
      </c>
      <c r="L247" s="5">
        <v>9.4499999999999987E-2</v>
      </c>
      <c r="M247" s="3" t="s">
        <v>21</v>
      </c>
      <c r="N247" s="3">
        <v>1006</v>
      </c>
      <c r="O247" s="6">
        <f>Table1[[#This Row],[Current coupon %]]*Table1[[#This Row],[Face value]]/Table1[[#This Row],[Ask Price]]</f>
        <v>9.7917172226669638E-2</v>
      </c>
      <c r="P247" s="3" t="s">
        <v>25</v>
      </c>
      <c r="Q247" s="3" t="s">
        <v>22</v>
      </c>
      <c r="R247">
        <f t="shared" si="3"/>
        <v>3</v>
      </c>
      <c r="S247" s="22" cm="1">
        <f t="array" ref="S247">_xlfn.IFS(Table1[[#This Row],[Coupon frequency]]="Semi-annual",2,Table1[[#This Row],[Coupon frequency]]="Quarterly",4,Table1[[#This Row],[Coupon frequency]]="Annual",1,Table1[[#This Row],[Coupon frequency]]="Every 4 months",3,Table1[[#This Row],[Coupon frequency]]="Monthly",12)</f>
        <v>1</v>
      </c>
      <c r="T247">
        <f>Table1[[#This Row],[Term to Maturity (Years)]]*Table1[[#This Row],[Coupon Frequency2]]</f>
        <v>3</v>
      </c>
      <c r="U247">
        <f>Table1[[#This Row],[Face value]]*Table1[[#This Row],[Current coupon %]]/Table1[[#This Row],[Coupon Frequency2]]</f>
        <v>9449.9999999999982</v>
      </c>
      <c r="V247" s="23">
        <f>RATE(Table1[[#This Row],[Total No. of Coupons]],Table1[[#This Row],[Coupon Amount]],-Table1[[#This Row],[Ask Price]],Table1[[#This Row],[Face value]])</f>
        <v>0.10874992415125399</v>
      </c>
      <c r="W247" s="24">
        <f>Table1[[#This Row],[IRR]]*Table1[[#This Row],[Coupon Frequency2]]</f>
        <v>0.10874992415125399</v>
      </c>
      <c r="X247" s="25" cm="1">
        <f t="array" ref="X2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47" s="26">
        <f>DURATION(Table1[[#This Row],[Issue date]],Table1[[#This Row],[Maturity date]],Table1[[#This Row],[Current coupon %]],Table1[[#This Row],[Yield (Annualised)]],Table1[[#This Row],[Coupon Frequency2]])</f>
        <v>2.743722669386329</v>
      </c>
      <c r="Z247" s="26">
        <f>Table1[[#This Row],[Macaulay Duration in Years]]/(1+Table1[[#This Row],[IRR]])</f>
        <v>2.4746091157450527</v>
      </c>
      <c r="AA247" s="27">
        <f>VLOOKUP(Table1[[#This Row],[Yield Cluster]],'[1]Cluster Details'!$B$3:$C$16,2,0)</f>
        <v>0.11069942689191503</v>
      </c>
      <c r="AB247" s="28">
        <f>PRICE(Table1[[#This Row],[Issue date]],Table1[[#This Row],[Maturity date]],Table1[[#This Row],[Current coupon %]],Table1[[#This Row],[Average Cluster Yield]],100,Table1[[#This Row],[Coupon Frequency2]])*Table1[[#This Row],[Face value]]/100</f>
        <v>96046.13285785701</v>
      </c>
      <c r="AC247" s="27" t="str">
        <f>IF(Table1[[#This Row],[Ask Price]]&gt;Table1[[#This Row],[Calculated Bond Price]],"Rich","Cheap")</f>
        <v>Rich</v>
      </c>
      <c r="AD247" s="28">
        <f>PRICE(Table1[[#This Row],[Issue date]],Table1[[#This Row],[Maturity date]],Table1[[#This Row],[Current coupon %]],Table1[[#This Row],[Yield (Annualised)]]+$AE$2,100,Table1[[#This Row],[Coupon Frequency2]])*Table1[[#This Row],[Face value]]/100</f>
        <v>94163.04290626978</v>
      </c>
      <c r="AE247" s="28">
        <f>PRICE(Table1[[#This Row],[Issue date]],Table1[[#This Row],[Maturity date]],Table1[[#This Row],[Current coupon %]],Table1[[#This Row],[Yield (Annualised)]]-$AE$2,100,Table1[[#This Row],[Coupon Frequency2]])*Table1[[#This Row],[Face value]]/100</f>
        <v>98940.776451045327</v>
      </c>
      <c r="AF247" s="28">
        <f>(Table1[[#This Row],[P (+ shock)]]+Table1[[#This Row],[P (-shock)]]-2*Table1[[#This Row],[Ask Price]])/(2*Table1[[#This Row],[Ask Price]]*($AE$2^2))</f>
        <v>4.3280093322374542</v>
      </c>
    </row>
    <row r="248" spans="1:32" x14ac:dyDescent="0.25">
      <c r="A248" s="21" t="s">
        <v>556</v>
      </c>
      <c r="B248" s="3" t="s">
        <v>557</v>
      </c>
      <c r="C248" s="3" t="s">
        <v>19</v>
      </c>
      <c r="D248" s="4">
        <v>45343</v>
      </c>
      <c r="E248" s="4">
        <v>46439</v>
      </c>
      <c r="F248" s="3">
        <v>100000</v>
      </c>
      <c r="G248" s="3" t="s">
        <v>20</v>
      </c>
      <c r="H248" s="3">
        <v>101107.3</v>
      </c>
      <c r="I248" s="3" t="s">
        <v>20</v>
      </c>
      <c r="J248" s="3">
        <v>101.1073</v>
      </c>
      <c r="K248" s="3">
        <v>20</v>
      </c>
      <c r="L248" s="5">
        <v>9.9000000000000005E-2</v>
      </c>
      <c r="M248" s="3" t="s">
        <v>44</v>
      </c>
      <c r="N248" s="3">
        <v>522</v>
      </c>
      <c r="O248" s="6">
        <f>Table1[[#This Row],[Current coupon %]]*Table1[[#This Row],[Face value]]/Table1[[#This Row],[Ask Price]]</f>
        <v>9.7915778583742216E-2</v>
      </c>
      <c r="P248" s="3"/>
      <c r="Q248" s="3" t="s">
        <v>22</v>
      </c>
      <c r="R248">
        <f t="shared" si="3"/>
        <v>3</v>
      </c>
      <c r="S248" s="22" cm="1">
        <f t="array" ref="S248">_xlfn.IFS(Table1[[#This Row],[Coupon frequency]]="Semi-annual",2,Table1[[#This Row],[Coupon frequency]]="Quarterly",4,Table1[[#This Row],[Coupon frequency]]="Annual",1,Table1[[#This Row],[Coupon frequency]]="Every 4 months",3,Table1[[#This Row],[Coupon frequency]]="Monthly",12)</f>
        <v>4</v>
      </c>
      <c r="T248">
        <f>Table1[[#This Row],[Term to Maturity (Years)]]*Table1[[#This Row],[Coupon Frequency2]]</f>
        <v>12</v>
      </c>
      <c r="U248">
        <f>Table1[[#This Row],[Face value]]*Table1[[#This Row],[Current coupon %]]/Table1[[#This Row],[Coupon Frequency2]]</f>
        <v>2475</v>
      </c>
      <c r="V248" s="23">
        <f>RATE(Table1[[#This Row],[Total No. of Coupons]],Table1[[#This Row],[Coupon Amount]],-Table1[[#This Row],[Ask Price]],Table1[[#This Row],[Face value]])</f>
        <v>2.3679139860725701E-2</v>
      </c>
      <c r="W248" s="24">
        <f>Table1[[#This Row],[IRR]]*Table1[[#This Row],[Coupon Frequency2]]</f>
        <v>9.4716559442902803E-2</v>
      </c>
      <c r="X248" s="25" cm="1">
        <f t="array" ref="X2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48" s="26">
        <f>DURATION(Table1[[#This Row],[Issue date]],Table1[[#This Row],[Maturity date]],Table1[[#This Row],[Current coupon %]],Table1[[#This Row],[Yield (Annualised)]],Table1[[#This Row],[Coupon Frequency2]])</f>
        <v>2.6343363527569448</v>
      </c>
      <c r="Z248" s="26">
        <f>Table1[[#This Row],[Macaulay Duration in Years]]/(1+Table1[[#This Row],[IRR]])</f>
        <v>2.5734004437321576</v>
      </c>
      <c r="AA248" s="27">
        <f>VLOOKUP(Table1[[#This Row],[Yield Cluster]],'[1]Cluster Details'!$B$3:$C$16,2,0)</f>
        <v>7.8548801574189142E-2</v>
      </c>
      <c r="AB248" s="28">
        <f>PRICE(Table1[[#This Row],[Issue date]],Table1[[#This Row],[Maturity date]],Table1[[#This Row],[Current coupon %]],Table1[[#This Row],[Average Cluster Yield]],100,Table1[[#This Row],[Coupon Frequency2]])*Table1[[#This Row],[Face value]]/100</f>
        <v>105419.02695831528</v>
      </c>
      <c r="AC248" s="27" t="str">
        <f>IF(Table1[[#This Row],[Ask Price]]&gt;Table1[[#This Row],[Calculated Bond Price]],"Rich","Cheap")</f>
        <v>Cheap</v>
      </c>
      <c r="AD248" s="28">
        <f>PRICE(Table1[[#This Row],[Issue date]],Table1[[#This Row],[Maturity date]],Table1[[#This Row],[Current coupon %]],Table1[[#This Row],[Yield (Annualised)]]+$AE$2,100,Table1[[#This Row],[Coupon Frequency2]])*Table1[[#This Row],[Face value]]/100</f>
        <v>98544.433616147464</v>
      </c>
      <c r="AE248" s="28">
        <f>PRICE(Table1[[#This Row],[Issue date]],Table1[[#This Row],[Maturity date]],Table1[[#This Row],[Current coupon %]],Table1[[#This Row],[Yield (Annualised)]]-$AE$2,100,Table1[[#This Row],[Coupon Frequency2]])*Table1[[#This Row],[Face value]]/100</f>
        <v>103749.10418333537</v>
      </c>
      <c r="AF248" s="28">
        <f>(Table1[[#This Row],[P (+ shock)]]+Table1[[#This Row],[P (-shock)]]-2*Table1[[#This Row],[Ask Price]])/(2*Table1[[#This Row],[Ask Price]]*($AE$2^2))</f>
        <v>3.9036646949730671</v>
      </c>
    </row>
    <row r="249" spans="1:32" x14ac:dyDescent="0.25">
      <c r="A249" s="21" t="s">
        <v>558</v>
      </c>
      <c r="B249" s="3" t="s">
        <v>559</v>
      </c>
      <c r="C249" s="3" t="s">
        <v>19</v>
      </c>
      <c r="D249" s="4">
        <v>45735</v>
      </c>
      <c r="E249" s="4">
        <v>46465</v>
      </c>
      <c r="F249" s="3">
        <v>100000</v>
      </c>
      <c r="G249" s="3" t="s">
        <v>20</v>
      </c>
      <c r="H249" s="3">
        <v>99805.57</v>
      </c>
      <c r="I249" s="3" t="s">
        <v>20</v>
      </c>
      <c r="J249" s="3">
        <v>99.805570000000003</v>
      </c>
      <c r="K249" s="3">
        <v>1</v>
      </c>
      <c r="L249" s="5">
        <v>9.7500000000000003E-2</v>
      </c>
      <c r="M249" s="3" t="s">
        <v>21</v>
      </c>
      <c r="N249" s="3">
        <v>548</v>
      </c>
      <c r="O249" s="6">
        <f>Table1[[#This Row],[Current coupon %]]*Table1[[#This Row],[Face value]]/Table1[[#This Row],[Ask Price]]</f>
        <v>9.7689938547517938E-2</v>
      </c>
      <c r="P249" s="3"/>
      <c r="Q249" s="3" t="s">
        <v>22</v>
      </c>
      <c r="R249">
        <f t="shared" si="3"/>
        <v>2</v>
      </c>
      <c r="S249" s="22" cm="1">
        <f t="array" ref="S249">_xlfn.IFS(Table1[[#This Row],[Coupon frequency]]="Semi-annual",2,Table1[[#This Row],[Coupon frequency]]="Quarterly",4,Table1[[#This Row],[Coupon frequency]]="Annual",1,Table1[[#This Row],[Coupon frequency]]="Every 4 months",3,Table1[[#This Row],[Coupon frequency]]="Monthly",12)</f>
        <v>1</v>
      </c>
      <c r="T249">
        <f>Table1[[#This Row],[Term to Maturity (Years)]]*Table1[[#This Row],[Coupon Frequency2]]</f>
        <v>2</v>
      </c>
      <c r="U249">
        <f>Table1[[#This Row],[Face value]]*Table1[[#This Row],[Current coupon %]]/Table1[[#This Row],[Coupon Frequency2]]</f>
        <v>9750</v>
      </c>
      <c r="V249" s="23">
        <f>RATE(Table1[[#This Row],[Total No. of Coupons]],Table1[[#This Row],[Coupon Amount]],-Table1[[#This Row],[Ask Price]],Table1[[#This Row],[Face value]])</f>
        <v>9.8618210139483145E-2</v>
      </c>
      <c r="W249" s="24">
        <f>Table1[[#This Row],[IRR]]*Table1[[#This Row],[Coupon Frequency2]]</f>
        <v>9.8618210139483145E-2</v>
      </c>
      <c r="X249" s="25" cm="1">
        <f t="array" ref="X2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49" s="26">
        <f>DURATION(Table1[[#This Row],[Issue date]],Table1[[#This Row],[Maturity date]],Table1[[#This Row],[Current coupon %]],Table1[[#This Row],[Yield (Annualised)]],Table1[[#This Row],[Coupon Frequency2]])</f>
        <v>1.9110792651660897</v>
      </c>
      <c r="Z249" s="26">
        <f>Table1[[#This Row],[Macaulay Duration in Years]]/(1+Table1[[#This Row],[IRR]])</f>
        <v>1.7395299363583774</v>
      </c>
      <c r="AA249" s="27">
        <f>VLOOKUP(Table1[[#This Row],[Yield Cluster]],'[1]Cluster Details'!$B$3:$C$16,2,0)</f>
        <v>7.8548801574189142E-2</v>
      </c>
      <c r="AB249" s="28">
        <f>PRICE(Table1[[#This Row],[Issue date]],Table1[[#This Row],[Maturity date]],Table1[[#This Row],[Current coupon %]],Table1[[#This Row],[Average Cluster Yield]],100,Table1[[#This Row],[Coupon Frequency2]])*Table1[[#This Row],[Face value]]/100</f>
        <v>103386.23662983224</v>
      </c>
      <c r="AC249" s="27" t="str">
        <f>IF(Table1[[#This Row],[Ask Price]]&gt;Table1[[#This Row],[Calculated Bond Price]],"Rich","Cheap")</f>
        <v>Cheap</v>
      </c>
      <c r="AD249" s="28">
        <f>PRICE(Table1[[#This Row],[Issue date]],Table1[[#This Row],[Maturity date]],Table1[[#This Row],[Current coupon %]],Table1[[#This Row],[Yield (Annualised)]]+$AE$2,100,Table1[[#This Row],[Coupon Frequency2]])*Table1[[#This Row],[Face value]]/100</f>
        <v>98092.481252934027</v>
      </c>
      <c r="AE249" s="28">
        <f>PRICE(Table1[[#This Row],[Issue date]],Table1[[#This Row],[Maturity date]],Table1[[#This Row],[Current coupon %]],Table1[[#This Row],[Yield (Annualised)]]-$AE$2,100,Table1[[#This Row],[Coupon Frequency2]])*Table1[[#This Row],[Face value]]/100</f>
        <v>101565.33885072758</v>
      </c>
      <c r="AF249" s="28">
        <f>(Table1[[#This Row],[P (+ shock)]]+Table1[[#This Row],[P (-shock)]]-2*Table1[[#This Row],[Ask Price]])/(2*Table1[[#This Row],[Ask Price]]*($AE$2^2))</f>
        <v>2.3385520297919684</v>
      </c>
    </row>
    <row r="250" spans="1:32" x14ac:dyDescent="0.25">
      <c r="A250" s="21" t="s">
        <v>560</v>
      </c>
      <c r="B250" s="3" t="s">
        <v>561</v>
      </c>
      <c r="C250" s="3" t="s">
        <v>19</v>
      </c>
      <c r="D250" s="4">
        <v>45685</v>
      </c>
      <c r="E250" s="4">
        <v>46407</v>
      </c>
      <c r="F250" s="3">
        <v>100000</v>
      </c>
      <c r="G250" s="3" t="s">
        <v>20</v>
      </c>
      <c r="H250" s="3">
        <v>101349.98</v>
      </c>
      <c r="I250" s="3" t="s">
        <v>20</v>
      </c>
      <c r="J250" s="3">
        <v>101.34997999999899</v>
      </c>
      <c r="K250" s="3">
        <v>1</v>
      </c>
      <c r="L250" s="5">
        <v>9.9000000000000005E-2</v>
      </c>
      <c r="M250" s="3" t="s">
        <v>44</v>
      </c>
      <c r="N250" s="3">
        <v>490</v>
      </c>
      <c r="O250" s="6">
        <f>Table1[[#This Row],[Current coupon %]]*Table1[[#This Row],[Face value]]/Table1[[#This Row],[Ask Price]]</f>
        <v>9.7681321693403392E-2</v>
      </c>
      <c r="P250" s="3"/>
      <c r="Q250" s="3" t="s">
        <v>22</v>
      </c>
      <c r="R250">
        <f t="shared" si="3"/>
        <v>2</v>
      </c>
      <c r="S250" s="22" cm="1">
        <f t="array" ref="S250">_xlfn.IFS(Table1[[#This Row],[Coupon frequency]]="Semi-annual",2,Table1[[#This Row],[Coupon frequency]]="Quarterly",4,Table1[[#This Row],[Coupon frequency]]="Annual",1,Table1[[#This Row],[Coupon frequency]]="Every 4 months",3,Table1[[#This Row],[Coupon frequency]]="Monthly",12)</f>
        <v>4</v>
      </c>
      <c r="T250">
        <f>Table1[[#This Row],[Term to Maturity (Years)]]*Table1[[#This Row],[Coupon Frequency2]]</f>
        <v>8</v>
      </c>
      <c r="U250">
        <f>Table1[[#This Row],[Face value]]*Table1[[#This Row],[Current coupon %]]/Table1[[#This Row],[Coupon Frequency2]]</f>
        <v>2475</v>
      </c>
      <c r="V250" s="23">
        <f>RATE(Table1[[#This Row],[Total No. of Coupons]],Table1[[#This Row],[Coupon Amount]],-Table1[[#This Row],[Ask Price]],Table1[[#This Row],[Face value]])</f>
        <v>2.2884166313791268E-2</v>
      </c>
      <c r="W250" s="24">
        <f>Table1[[#This Row],[IRR]]*Table1[[#This Row],[Coupon Frequency2]]</f>
        <v>9.1536665255165073E-2</v>
      </c>
      <c r="X250" s="25" cm="1">
        <f t="array" ref="X2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0" s="26">
        <f>DURATION(Table1[[#This Row],[Issue date]],Table1[[#This Row],[Maturity date]],Table1[[#This Row],[Current coupon %]],Table1[[#This Row],[Yield (Annualised)]],Table1[[#This Row],[Coupon Frequency2]])</f>
        <v>1.8179320001324994</v>
      </c>
      <c r="Z250" s="26">
        <f>Table1[[#This Row],[Macaulay Duration in Years]]/(1+Table1[[#This Row],[IRR]])</f>
        <v>1.7772608668720076</v>
      </c>
      <c r="AA250" s="27">
        <f>VLOOKUP(Table1[[#This Row],[Yield Cluster]],'[1]Cluster Details'!$B$3:$C$16,2,0)</f>
        <v>7.8548801574189142E-2</v>
      </c>
      <c r="AB250" s="28">
        <f>PRICE(Table1[[#This Row],[Issue date]],Table1[[#This Row],[Maturity date]],Table1[[#This Row],[Current coupon %]],Table1[[#This Row],[Average Cluster Yield]],100,Table1[[#This Row],[Coupon Frequency2]])*Table1[[#This Row],[Face value]]/100</f>
        <v>103710.73574939645</v>
      </c>
      <c r="AC250" s="27" t="str">
        <f>IF(Table1[[#This Row],[Ask Price]]&gt;Table1[[#This Row],[Calculated Bond Price]],"Rich","Cheap")</f>
        <v>Cheap</v>
      </c>
      <c r="AD250" s="28">
        <f>PRICE(Table1[[#This Row],[Issue date]],Table1[[#This Row],[Maturity date]],Table1[[#This Row],[Current coupon %]],Table1[[#This Row],[Yield (Annualised)]]+$AE$2,100,Table1[[#This Row],[Coupon Frequency2]])*Table1[[#This Row],[Face value]]/100</f>
        <v>99548.094529240654</v>
      </c>
      <c r="AE250" s="28">
        <f>PRICE(Table1[[#This Row],[Issue date]],Table1[[#This Row],[Maturity date]],Table1[[#This Row],[Current coupon %]],Table1[[#This Row],[Yield (Annualised)]]-$AE$2,100,Table1[[#This Row],[Coupon Frequency2]])*Table1[[#This Row],[Face value]]/100</f>
        <v>103158.15845415907</v>
      </c>
      <c r="AF250" s="28">
        <f>(Table1[[#This Row],[P (+ shock)]]+Table1[[#This Row],[P (-shock)]]-2*Table1[[#This Row],[Ask Price]])/(2*Table1[[#This Row],[Ask Price]]*($AE$2^2))</f>
        <v>0.31045804842453856</v>
      </c>
    </row>
    <row r="251" spans="1:32" x14ac:dyDescent="0.25">
      <c r="A251" s="21" t="s">
        <v>562</v>
      </c>
      <c r="B251" s="3" t="s">
        <v>563</v>
      </c>
      <c r="C251" s="3" t="s">
        <v>19</v>
      </c>
      <c r="D251" s="4">
        <v>40480</v>
      </c>
      <c r="E251" s="4">
        <v>47785</v>
      </c>
      <c r="F251" s="3">
        <v>1000000</v>
      </c>
      <c r="G251" s="3" t="s">
        <v>20</v>
      </c>
      <c r="H251" s="3">
        <v>1021700</v>
      </c>
      <c r="I251" s="3" t="s">
        <v>20</v>
      </c>
      <c r="J251" s="3">
        <v>102.17</v>
      </c>
      <c r="K251" s="3">
        <v>1</v>
      </c>
      <c r="L251" s="5">
        <v>9.98E-2</v>
      </c>
      <c r="M251" s="3" t="s">
        <v>21</v>
      </c>
      <c r="N251" s="3">
        <v>1868</v>
      </c>
      <c r="O251" s="6">
        <f>Table1[[#This Row],[Current coupon %]]*Table1[[#This Row],[Face value]]/Table1[[#This Row],[Ask Price]]</f>
        <v>9.768033669374572E-2</v>
      </c>
      <c r="P251" s="3"/>
      <c r="Q251" s="3" t="s">
        <v>22</v>
      </c>
      <c r="R251">
        <f t="shared" si="3"/>
        <v>20</v>
      </c>
      <c r="S251" s="22" cm="1">
        <f t="array" ref="S251">_xlfn.IFS(Table1[[#This Row],[Coupon frequency]]="Semi-annual",2,Table1[[#This Row],[Coupon frequency]]="Quarterly",4,Table1[[#This Row],[Coupon frequency]]="Annual",1,Table1[[#This Row],[Coupon frequency]]="Every 4 months",3,Table1[[#This Row],[Coupon frequency]]="Monthly",12)</f>
        <v>1</v>
      </c>
      <c r="T251">
        <f>Table1[[#This Row],[Term to Maturity (Years)]]*Table1[[#This Row],[Coupon Frequency2]]</f>
        <v>20</v>
      </c>
      <c r="U251">
        <f>Table1[[#This Row],[Face value]]*Table1[[#This Row],[Current coupon %]]/Table1[[#This Row],[Coupon Frequency2]]</f>
        <v>99800</v>
      </c>
      <c r="V251" s="23">
        <f>RATE(Table1[[#This Row],[Total No. of Coupons]],Table1[[#This Row],[Coupon Amount]],-Table1[[#This Row],[Ask Price]],Table1[[#This Row],[Face value]])</f>
        <v>9.7297972568966995E-2</v>
      </c>
      <c r="W251" s="24">
        <f>Table1[[#This Row],[IRR]]*Table1[[#This Row],[Coupon Frequency2]]</f>
        <v>9.7297972568966995E-2</v>
      </c>
      <c r="X251" s="25" cm="1">
        <f t="array" ref="X2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1" s="26">
        <f>DURATION(Table1[[#This Row],[Issue date]],Table1[[#This Row],[Maturity date]],Table1[[#This Row],[Current coupon %]],Table1[[#This Row],[Yield (Annualised)]],Table1[[#This Row],[Coupon Frequency2]])</f>
        <v>9.4756314742355787</v>
      </c>
      <c r="Z251" s="26">
        <f>Table1[[#This Row],[Macaulay Duration in Years]]/(1+Table1[[#This Row],[IRR]])</f>
        <v>8.6354223839960849</v>
      </c>
      <c r="AA251" s="27">
        <f>VLOOKUP(Table1[[#This Row],[Yield Cluster]],'[1]Cluster Details'!$B$3:$C$16,2,0)</f>
        <v>7.8548801574189142E-2</v>
      </c>
      <c r="AB251" s="28">
        <f>PRICE(Table1[[#This Row],[Issue date]],Table1[[#This Row],[Maturity date]],Table1[[#This Row],[Current coupon %]],Table1[[#This Row],[Average Cluster Yield]],100,Table1[[#This Row],[Coupon Frequency2]])*Table1[[#This Row],[Face value]]/100</f>
        <v>1210920.0388445936</v>
      </c>
      <c r="AC251" s="27" t="str">
        <f>IF(Table1[[#This Row],[Ask Price]]&gt;Table1[[#This Row],[Calculated Bond Price]],"Rich","Cheap")</f>
        <v>Cheap</v>
      </c>
      <c r="AD251" s="28">
        <f>PRICE(Table1[[#This Row],[Issue date]],Table1[[#This Row],[Maturity date]],Table1[[#This Row],[Current coupon %]],Table1[[#This Row],[Yield (Annualised)]]+$AE$2,100,Table1[[#This Row],[Coupon Frequency2]])*Table1[[#This Row],[Face value]]/100</f>
        <v>939220.52767937689</v>
      </c>
      <c r="AE251" s="28">
        <f>PRICE(Table1[[#This Row],[Issue date]],Table1[[#This Row],[Maturity date]],Table1[[#This Row],[Current coupon %]],Table1[[#This Row],[Yield (Annualised)]]-$AE$2,100,Table1[[#This Row],[Coupon Frequency2]])*Table1[[#This Row],[Face value]]/100</f>
        <v>1116357.2345148716</v>
      </c>
      <c r="AF251" s="28">
        <f>(Table1[[#This Row],[P (+ shock)]]+Table1[[#This Row],[P (-shock)]]-2*Table1[[#This Row],[Ask Price]])/(2*Table1[[#This Row],[Ask Price]]*($AE$2^2))</f>
        <v>59.595586739005491</v>
      </c>
    </row>
    <row r="252" spans="1:32" x14ac:dyDescent="0.25">
      <c r="A252" s="21" t="s">
        <v>564</v>
      </c>
      <c r="B252" s="3" t="s">
        <v>565</v>
      </c>
      <c r="C252" s="3" t="s">
        <v>19</v>
      </c>
      <c r="D252" s="4">
        <v>43186</v>
      </c>
      <c r="E252" s="4">
        <v>46772</v>
      </c>
      <c r="F252" s="3">
        <v>1000000</v>
      </c>
      <c r="G252" s="3" t="s">
        <v>20</v>
      </c>
      <c r="H252" s="3">
        <v>1040500</v>
      </c>
      <c r="I252" s="3" t="s">
        <v>20</v>
      </c>
      <c r="J252" s="3">
        <v>104.05</v>
      </c>
      <c r="K252" s="3">
        <v>1</v>
      </c>
      <c r="L252" s="5">
        <v>0.10150000000000001</v>
      </c>
      <c r="M252" s="3" t="s">
        <v>44</v>
      </c>
      <c r="N252" s="3">
        <v>855</v>
      </c>
      <c r="O252" s="6">
        <f>Table1[[#This Row],[Current coupon %]]*Table1[[#This Row],[Face value]]/Table1[[#This Row],[Ask Price]]</f>
        <v>9.7549255165785678E-2</v>
      </c>
      <c r="P252" s="3"/>
      <c r="Q252" s="3" t="s">
        <v>22</v>
      </c>
      <c r="R252">
        <f t="shared" si="3"/>
        <v>10</v>
      </c>
      <c r="S252" s="22" cm="1">
        <f t="array" ref="S252">_xlfn.IFS(Table1[[#This Row],[Coupon frequency]]="Semi-annual",2,Table1[[#This Row],[Coupon frequency]]="Quarterly",4,Table1[[#This Row],[Coupon frequency]]="Annual",1,Table1[[#This Row],[Coupon frequency]]="Every 4 months",3,Table1[[#This Row],[Coupon frequency]]="Monthly",12)</f>
        <v>4</v>
      </c>
      <c r="T252">
        <f>Table1[[#This Row],[Term to Maturity (Years)]]*Table1[[#This Row],[Coupon Frequency2]]</f>
        <v>40</v>
      </c>
      <c r="U252">
        <f>Table1[[#This Row],[Face value]]*Table1[[#This Row],[Current coupon %]]/Table1[[#This Row],[Coupon Frequency2]]</f>
        <v>25375</v>
      </c>
      <c r="V252" s="23">
        <f>RATE(Table1[[#This Row],[Total No. of Coupons]],Table1[[#This Row],[Coupon Amount]],-Table1[[#This Row],[Ask Price]],Table1[[#This Row],[Face value]])</f>
        <v>2.3794222186733938E-2</v>
      </c>
      <c r="W252" s="24">
        <f>Table1[[#This Row],[IRR]]*Table1[[#This Row],[Coupon Frequency2]]</f>
        <v>9.5176888746935751E-2</v>
      </c>
      <c r="X252" s="25" cm="1">
        <f t="array" ref="X2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2" s="26">
        <f>DURATION(Table1[[#This Row],[Issue date]],Table1[[#This Row],[Maturity date]],Table1[[#This Row],[Current coupon %]],Table1[[#This Row],[Yield (Annualised)]],Table1[[#This Row],[Coupon Frequency2]])</f>
        <v>6.2855595420549024</v>
      </c>
      <c r="Z252" s="26">
        <f>Table1[[#This Row],[Macaulay Duration in Years]]/(1+Table1[[#This Row],[IRR]])</f>
        <v>6.1394754979467479</v>
      </c>
      <c r="AA252" s="27">
        <f>VLOOKUP(Table1[[#This Row],[Yield Cluster]],'[1]Cluster Details'!$B$3:$C$16,2,0)</f>
        <v>7.8548801574189142E-2</v>
      </c>
      <c r="AB252" s="28">
        <f>PRICE(Table1[[#This Row],[Issue date]],Table1[[#This Row],[Maturity date]],Table1[[#This Row],[Current coupon %]],Table1[[#This Row],[Average Cluster Yield]],100,Table1[[#This Row],[Coupon Frequency2]])*Table1[[#This Row],[Face value]]/100</f>
        <v>1155959.2370507782</v>
      </c>
      <c r="AC252" s="27" t="str">
        <f>IF(Table1[[#This Row],[Ask Price]]&gt;Table1[[#This Row],[Calculated Bond Price]],"Rich","Cheap")</f>
        <v>Cheap</v>
      </c>
      <c r="AD252" s="28">
        <f>PRICE(Table1[[#This Row],[Issue date]],Table1[[#This Row],[Maturity date]],Table1[[#This Row],[Current coupon %]],Table1[[#This Row],[Yield (Annualised)]]+$AE$2,100,Table1[[#This Row],[Coupon Frequency2]])*Table1[[#This Row],[Face value]]/100</f>
        <v>977598.61302726914</v>
      </c>
      <c r="AE252" s="28">
        <f>PRICE(Table1[[#This Row],[Issue date]],Table1[[#This Row],[Maturity date]],Table1[[#This Row],[Current coupon %]],Table1[[#This Row],[Yield (Annualised)]]-$AE$2,100,Table1[[#This Row],[Coupon Frequency2]])*Table1[[#This Row],[Face value]]/100</f>
        <v>1107784.0578858303</v>
      </c>
      <c r="AF252" s="28">
        <f>(Table1[[#This Row],[P (+ shock)]]+Table1[[#This Row],[P (-shock)]]-2*Table1[[#This Row],[Ask Price]])/(2*Table1[[#This Row],[Ask Price]]*($AE$2^2))</f>
        <v>21.060408039881359</v>
      </c>
    </row>
    <row r="253" spans="1:32" x14ac:dyDescent="0.25">
      <c r="A253" s="21" t="s">
        <v>566</v>
      </c>
      <c r="B253" s="3" t="s">
        <v>567</v>
      </c>
      <c r="C253" s="3" t="s">
        <v>19</v>
      </c>
      <c r="D253" s="4">
        <v>45365</v>
      </c>
      <c r="E253" s="4">
        <v>46461</v>
      </c>
      <c r="F253" s="3">
        <v>100000</v>
      </c>
      <c r="G253" s="3" t="s">
        <v>20</v>
      </c>
      <c r="H253" s="3">
        <v>102000</v>
      </c>
      <c r="I253" s="3" t="s">
        <v>20</v>
      </c>
      <c r="J253" s="3">
        <v>102</v>
      </c>
      <c r="K253" s="3">
        <v>1</v>
      </c>
      <c r="L253" s="5">
        <v>9.9499999999999991E-2</v>
      </c>
      <c r="M253" s="3" t="s">
        <v>21</v>
      </c>
      <c r="N253" s="3">
        <v>544</v>
      </c>
      <c r="O253" s="6">
        <f>Table1[[#This Row],[Current coupon %]]*Table1[[#This Row],[Face value]]/Table1[[#This Row],[Ask Price]]</f>
        <v>9.7549019607843138E-2</v>
      </c>
      <c r="P253" s="3"/>
      <c r="Q253" s="3" t="s">
        <v>22</v>
      </c>
      <c r="R253">
        <f t="shared" si="3"/>
        <v>3</v>
      </c>
      <c r="S253" s="22" cm="1">
        <f t="array" ref="S253">_xlfn.IFS(Table1[[#This Row],[Coupon frequency]]="Semi-annual",2,Table1[[#This Row],[Coupon frequency]]="Quarterly",4,Table1[[#This Row],[Coupon frequency]]="Annual",1,Table1[[#This Row],[Coupon frequency]]="Every 4 months",3,Table1[[#This Row],[Coupon frequency]]="Monthly",12)</f>
        <v>1</v>
      </c>
      <c r="T253">
        <f>Table1[[#This Row],[Term to Maturity (Years)]]*Table1[[#This Row],[Coupon Frequency2]]</f>
        <v>3</v>
      </c>
      <c r="U253">
        <f>Table1[[#This Row],[Face value]]*Table1[[#This Row],[Current coupon %]]/Table1[[#This Row],[Coupon Frequency2]]</f>
        <v>9950</v>
      </c>
      <c r="V253" s="23">
        <f>RATE(Table1[[#This Row],[Total No. of Coupons]],Table1[[#This Row],[Coupon Amount]],-Table1[[#This Row],[Ask Price]],Table1[[#This Row],[Face value]])</f>
        <v>9.1576693034972761E-2</v>
      </c>
      <c r="W253" s="24">
        <f>Table1[[#This Row],[IRR]]*Table1[[#This Row],[Coupon Frequency2]]</f>
        <v>9.1576693034972761E-2</v>
      </c>
      <c r="X253" s="25" cm="1">
        <f t="array" ref="X2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3" s="26">
        <f>DURATION(Table1[[#This Row],[Issue date]],Table1[[#This Row],[Maturity date]],Table1[[#This Row],[Current coupon %]],Table1[[#This Row],[Yield (Annualised)]],Table1[[#This Row],[Coupon Frequency2]])</f>
        <v>2.4987040806711307</v>
      </c>
      <c r="Z253" s="26">
        <f>Table1[[#This Row],[Macaulay Duration in Years]]/(1+Table1[[#This Row],[IRR]])</f>
        <v>2.2890778967841841</v>
      </c>
      <c r="AA253" s="27">
        <f>VLOOKUP(Table1[[#This Row],[Yield Cluster]],'[1]Cluster Details'!$B$3:$C$16,2,0)</f>
        <v>7.8548801574189142E-2</v>
      </c>
      <c r="AB253" s="28">
        <f>PRICE(Table1[[#This Row],[Issue date]],Table1[[#This Row],[Maturity date]],Table1[[#This Row],[Current coupon %]],Table1[[#This Row],[Average Cluster Yield]],100,Table1[[#This Row],[Coupon Frequency2]])*Table1[[#This Row],[Face value]]/100</f>
        <v>105416.90648225497</v>
      </c>
      <c r="AC253" s="27" t="str">
        <f>IF(Table1[[#This Row],[Ask Price]]&gt;Table1[[#This Row],[Calculated Bond Price]],"Rich","Cheap")</f>
        <v>Cheap</v>
      </c>
      <c r="AD253" s="28">
        <f>PRICE(Table1[[#This Row],[Issue date]],Table1[[#This Row],[Maturity date]],Table1[[#This Row],[Current coupon %]],Table1[[#This Row],[Yield (Annualised)]]+$AE$2,100,Table1[[#This Row],[Coupon Frequency2]])*Table1[[#This Row],[Face value]]/100</f>
        <v>99483.22181084672</v>
      </c>
      <c r="AE253" s="28">
        <f>PRICE(Table1[[#This Row],[Issue date]],Table1[[#This Row],[Maturity date]],Table1[[#This Row],[Current coupon %]],Table1[[#This Row],[Yield (Annualised)]]-$AE$2,100,Table1[[#This Row],[Coupon Frequency2]])*Table1[[#This Row],[Face value]]/100</f>
        <v>104608.58812380731</v>
      </c>
      <c r="AF253" s="28">
        <f>(Table1[[#This Row],[P (+ shock)]]+Table1[[#This Row],[P (-shock)]]-2*Table1[[#This Row],[Ask Price]])/(2*Table1[[#This Row],[Ask Price]]*($AE$2^2))</f>
        <v>4.5004869928451106</v>
      </c>
    </row>
    <row r="254" spans="1:32" x14ac:dyDescent="0.25">
      <c r="A254" s="21" t="s">
        <v>568</v>
      </c>
      <c r="B254" s="3" t="s">
        <v>569</v>
      </c>
      <c r="C254" s="3" t="s">
        <v>19</v>
      </c>
      <c r="D254" s="4">
        <v>44308</v>
      </c>
      <c r="E254" s="4">
        <v>46864</v>
      </c>
      <c r="F254" s="3">
        <v>1000000</v>
      </c>
      <c r="G254" s="3" t="s">
        <v>20</v>
      </c>
      <c r="H254" s="3">
        <v>1000000</v>
      </c>
      <c r="I254" s="3" t="s">
        <v>20</v>
      </c>
      <c r="J254" s="3">
        <v>100</v>
      </c>
      <c r="K254" s="3">
        <v>2</v>
      </c>
      <c r="L254" s="5">
        <v>9.7500000000000003E-2</v>
      </c>
      <c r="M254" s="3" t="s">
        <v>21</v>
      </c>
      <c r="N254" s="3">
        <v>947</v>
      </c>
      <c r="O254" s="6">
        <f>Table1[[#This Row],[Current coupon %]]*Table1[[#This Row],[Face value]]/Table1[[#This Row],[Ask Price]]</f>
        <v>9.7500000000000003E-2</v>
      </c>
      <c r="P254" s="3"/>
      <c r="Q254" s="3" t="s">
        <v>22</v>
      </c>
      <c r="R254">
        <f t="shared" si="3"/>
        <v>7</v>
      </c>
      <c r="S254" s="22" cm="1">
        <f t="array" ref="S254">_xlfn.IFS(Table1[[#This Row],[Coupon frequency]]="Semi-annual",2,Table1[[#This Row],[Coupon frequency]]="Quarterly",4,Table1[[#This Row],[Coupon frequency]]="Annual",1,Table1[[#This Row],[Coupon frequency]]="Every 4 months",3,Table1[[#This Row],[Coupon frequency]]="Monthly",12)</f>
        <v>1</v>
      </c>
      <c r="T254">
        <f>Table1[[#This Row],[Term to Maturity (Years)]]*Table1[[#This Row],[Coupon Frequency2]]</f>
        <v>7</v>
      </c>
      <c r="U254">
        <f>Table1[[#This Row],[Face value]]*Table1[[#This Row],[Current coupon %]]/Table1[[#This Row],[Coupon Frequency2]]</f>
        <v>97500</v>
      </c>
      <c r="V254" s="23">
        <f>RATE(Table1[[#This Row],[Total No. of Coupons]],Table1[[#This Row],[Coupon Amount]],-Table1[[#This Row],[Ask Price]],Table1[[#This Row],[Face value]])</f>
        <v>9.7500000000000017E-2</v>
      </c>
      <c r="W254" s="24">
        <f>Table1[[#This Row],[IRR]]*Table1[[#This Row],[Coupon Frequency2]]</f>
        <v>9.7500000000000017E-2</v>
      </c>
      <c r="X254" s="25" cm="1">
        <f t="array" ref="X2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4" s="26">
        <f>DURATION(Table1[[#This Row],[Issue date]],Table1[[#This Row],[Maturity date]],Table1[[#This Row],[Current coupon %]],Table1[[#This Row],[Yield (Annualised)]],Table1[[#This Row],[Coupon Frequency2]])</f>
        <v>5.3845770538882327</v>
      </c>
      <c r="Z254" s="26">
        <f>Table1[[#This Row],[Macaulay Duration in Years]]/(1+Table1[[#This Row],[IRR]])</f>
        <v>4.9062205502398477</v>
      </c>
      <c r="AA254" s="27">
        <f>VLOOKUP(Table1[[#This Row],[Yield Cluster]],'[1]Cluster Details'!$B$3:$C$16,2,0)</f>
        <v>7.8548801574189142E-2</v>
      </c>
      <c r="AB254" s="28">
        <f>PRICE(Table1[[#This Row],[Issue date]],Table1[[#This Row],[Maturity date]],Table1[[#This Row],[Current coupon %]],Table1[[#This Row],[Average Cluster Yield]],100,Table1[[#This Row],[Coupon Frequency2]])*Table1[[#This Row],[Face value]]/100</f>
        <v>1099118.6204350116</v>
      </c>
      <c r="AC254" s="27" t="str">
        <f>IF(Table1[[#This Row],[Ask Price]]&gt;Table1[[#This Row],[Calculated Bond Price]],"Rich","Cheap")</f>
        <v>Cheap</v>
      </c>
      <c r="AD254" s="28">
        <f>PRICE(Table1[[#This Row],[Issue date]],Table1[[#This Row],[Maturity date]],Table1[[#This Row],[Current coupon %]],Table1[[#This Row],[Yield (Annualised)]]+$AE$2,100,Table1[[#This Row],[Coupon Frequency2]])*Table1[[#This Row],[Face value]]/100</f>
        <v>952494.33382117981</v>
      </c>
      <c r="AE254" s="28">
        <f>PRICE(Table1[[#This Row],[Issue date]],Table1[[#This Row],[Maturity date]],Table1[[#This Row],[Current coupon %]],Table1[[#This Row],[Yield (Annualised)]]-$AE$2,100,Table1[[#This Row],[Coupon Frequency2]])*Table1[[#This Row],[Face value]]/100</f>
        <v>1050728.5353576613</v>
      </c>
      <c r="AF254" s="28">
        <f>(Table1[[#This Row],[P (+ shock)]]+Table1[[#This Row],[P (-shock)]]-2*Table1[[#This Row],[Ask Price]])/(2*Table1[[#This Row],[Ask Price]]*($AE$2^2))</f>
        <v>16.114345894205616</v>
      </c>
    </row>
    <row r="255" spans="1:32" x14ac:dyDescent="0.25">
      <c r="A255" s="21" t="s">
        <v>570</v>
      </c>
      <c r="B255" s="3" t="s">
        <v>571</v>
      </c>
      <c r="C255" s="3" t="s">
        <v>19</v>
      </c>
      <c r="D255" s="4">
        <v>40372</v>
      </c>
      <c r="E255" s="4">
        <v>47677</v>
      </c>
      <c r="F255" s="3">
        <v>1000000</v>
      </c>
      <c r="G255" s="3" t="s">
        <v>20</v>
      </c>
      <c r="H255" s="3">
        <v>1000010.05</v>
      </c>
      <c r="I255" s="3" t="s">
        <v>20</v>
      </c>
      <c r="J255" s="3">
        <v>100.001004999999</v>
      </c>
      <c r="K255" s="3">
        <v>2</v>
      </c>
      <c r="L255" s="5">
        <v>9.7500000000000003E-2</v>
      </c>
      <c r="M255" s="3" t="s">
        <v>21</v>
      </c>
      <c r="N255" s="3">
        <v>1760</v>
      </c>
      <c r="O255" s="6">
        <f>Table1[[#This Row],[Current coupon %]]*Table1[[#This Row],[Face value]]/Table1[[#This Row],[Ask Price]]</f>
        <v>9.7499020134847639E-2</v>
      </c>
      <c r="P255" s="3"/>
      <c r="Q255" s="3" t="s">
        <v>22</v>
      </c>
      <c r="R255">
        <f t="shared" si="3"/>
        <v>20</v>
      </c>
      <c r="S255" s="22" cm="1">
        <f t="array" ref="S255">_xlfn.IFS(Table1[[#This Row],[Coupon frequency]]="Semi-annual",2,Table1[[#This Row],[Coupon frequency]]="Quarterly",4,Table1[[#This Row],[Coupon frequency]]="Annual",1,Table1[[#This Row],[Coupon frequency]]="Every 4 months",3,Table1[[#This Row],[Coupon frequency]]="Monthly",12)</f>
        <v>1</v>
      </c>
      <c r="T255">
        <f>Table1[[#This Row],[Term to Maturity (Years)]]*Table1[[#This Row],[Coupon Frequency2]]</f>
        <v>20</v>
      </c>
      <c r="U255">
        <f>Table1[[#This Row],[Face value]]*Table1[[#This Row],[Current coupon %]]/Table1[[#This Row],[Coupon Frequency2]]</f>
        <v>97500</v>
      </c>
      <c r="V255" s="23">
        <f>RATE(Table1[[#This Row],[Total No. of Coupons]],Table1[[#This Row],[Coupon Amount]],-Table1[[#This Row],[Ask Price]],Table1[[#This Row],[Face value]])</f>
        <v>9.7498839619238886E-2</v>
      </c>
      <c r="W255" s="24">
        <f>Table1[[#This Row],[IRR]]*Table1[[#This Row],[Coupon Frequency2]]</f>
        <v>9.7498839619238886E-2</v>
      </c>
      <c r="X255" s="25" cm="1">
        <f t="array" ref="X2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5" s="26">
        <f>DURATION(Table1[[#This Row],[Issue date]],Table1[[#This Row],[Maturity date]],Table1[[#This Row],[Current coupon %]],Table1[[#This Row],[Yield (Annualised)]],Table1[[#This Row],[Coupon Frequency2]])</f>
        <v>9.5053633781706388</v>
      </c>
      <c r="Z255" s="26">
        <f>Table1[[#This Row],[Macaulay Duration in Years]]/(1+Table1[[#This Row],[IRR]])</f>
        <v>8.6609325085650077</v>
      </c>
      <c r="AA255" s="27">
        <f>VLOOKUP(Table1[[#This Row],[Yield Cluster]],'[1]Cluster Details'!$B$3:$C$16,2,0)</f>
        <v>7.8548801574189142E-2</v>
      </c>
      <c r="AB255" s="28">
        <f>PRICE(Table1[[#This Row],[Issue date]],Table1[[#This Row],[Maturity date]],Table1[[#This Row],[Current coupon %]],Table1[[#This Row],[Average Cluster Yield]],100,Table1[[#This Row],[Coupon Frequency2]])*Table1[[#This Row],[Face value]]/100</f>
        <v>1188092.3338078102</v>
      </c>
      <c r="AC255" s="27" t="str">
        <f>IF(Table1[[#This Row],[Ask Price]]&gt;Table1[[#This Row],[Calculated Bond Price]],"Rich","Cheap")</f>
        <v>Cheap</v>
      </c>
      <c r="AD255" s="28">
        <f>PRICE(Table1[[#This Row],[Issue date]],Table1[[#This Row],[Maturity date]],Table1[[#This Row],[Current coupon %]],Table1[[#This Row],[Yield (Annualised)]]+$AE$2,100,Table1[[#This Row],[Coupon Frequency2]])*Table1[[#This Row],[Face value]]/100</f>
        <v>919055.78290105273</v>
      </c>
      <c r="AE255" s="28">
        <f>PRICE(Table1[[#This Row],[Issue date]],Table1[[#This Row],[Maturity date]],Table1[[#This Row],[Current coupon %]],Table1[[#This Row],[Yield (Annualised)]]-$AE$2,100,Table1[[#This Row],[Coupon Frequency2]])*Table1[[#This Row],[Face value]]/100</f>
        <v>1092946.8448420872</v>
      </c>
      <c r="AF255" s="28">
        <f>(Table1[[#This Row],[P (+ shock)]]+Table1[[#This Row],[P (-shock)]]-2*Table1[[#This Row],[Ask Price]])/(2*Table1[[#This Row],[Ask Price]]*($AE$2^2))</f>
        <v>59.912036599731017</v>
      </c>
    </row>
    <row r="256" spans="1:32" x14ac:dyDescent="0.25">
      <c r="A256" s="21" t="s">
        <v>81</v>
      </c>
      <c r="B256" s="3" t="s">
        <v>82</v>
      </c>
      <c r="C256" s="3" t="s">
        <v>19</v>
      </c>
      <c r="D256" s="4">
        <v>45547</v>
      </c>
      <c r="E256" s="4">
        <v>46642</v>
      </c>
      <c r="F256" s="3">
        <v>1000</v>
      </c>
      <c r="G256" s="3" t="s">
        <v>20</v>
      </c>
      <c r="H256" s="3">
        <v>1009</v>
      </c>
      <c r="I256" s="3" t="s">
        <v>20</v>
      </c>
      <c r="J256" s="3">
        <v>100.899999999999</v>
      </c>
      <c r="K256" s="3">
        <v>1432</v>
      </c>
      <c r="L256" s="5">
        <v>9.6500000000000002E-2</v>
      </c>
      <c r="M256" s="3" t="s">
        <v>21</v>
      </c>
      <c r="N256" s="3">
        <v>725</v>
      </c>
      <c r="O256" s="6">
        <f>Table1[[#This Row],[Current coupon %]]*Table1[[#This Row],[Face value]]/Table1[[#This Row],[Ask Price]]</f>
        <v>9.5639246778989093E-2</v>
      </c>
      <c r="P256" s="3"/>
      <c r="Q256" s="3" t="s">
        <v>22</v>
      </c>
      <c r="R256">
        <f t="shared" si="3"/>
        <v>3</v>
      </c>
      <c r="S256" s="22" cm="1">
        <f t="array" ref="S256">_xlfn.IFS(Table1[[#This Row],[Coupon frequency]]="Semi-annual",2,Table1[[#This Row],[Coupon frequency]]="Quarterly",4,Table1[[#This Row],[Coupon frequency]]="Annual",1,Table1[[#This Row],[Coupon frequency]]="Every 4 months",3,Table1[[#This Row],[Coupon frequency]]="Monthly",12)</f>
        <v>1</v>
      </c>
      <c r="T256">
        <f>Table1[[#This Row],[Term to Maturity (Years)]]*Table1[[#This Row],[Coupon Frequency2]]</f>
        <v>3</v>
      </c>
      <c r="U256">
        <f>Table1[[#This Row],[Face value]]*Table1[[#This Row],[Current coupon %]]/Table1[[#This Row],[Coupon Frequency2]]</f>
        <v>96.5</v>
      </c>
      <c r="V256" s="23">
        <f>RATE(Table1[[#This Row],[Total No. of Coupons]],Table1[[#This Row],[Coupon Amount]],-Table1[[#This Row],[Ask Price]],Table1[[#This Row],[Face value]])</f>
        <v>9.2925951472983562E-2</v>
      </c>
      <c r="W256" s="24">
        <f>Table1[[#This Row],[IRR]]*Table1[[#This Row],[Coupon Frequency2]]</f>
        <v>9.2925951472983562E-2</v>
      </c>
      <c r="X256" s="25" cm="1">
        <f t="array" ref="X2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6" s="26">
        <f>DURATION(Table1[[#This Row],[Issue date]],Table1[[#This Row],[Maturity date]],Table1[[#This Row],[Current coupon %]],Table1[[#This Row],[Yield (Annualised)]],Table1[[#This Row],[Coupon Frequency2]])</f>
        <v>2.7449177414168373</v>
      </c>
      <c r="Z256" s="26">
        <f>Table1[[#This Row],[Macaulay Duration in Years]]/(1+Table1[[#This Row],[IRR]])</f>
        <v>2.511531305224652</v>
      </c>
      <c r="AA256" s="27">
        <f>VLOOKUP(Table1[[#This Row],[Yield Cluster]],'[1]Cluster Details'!$B$3:$C$16,2,0)</f>
        <v>7.8548801574189142E-2</v>
      </c>
      <c r="AB256" s="28">
        <f>PRICE(Table1[[#This Row],[Issue date]],Table1[[#This Row],[Maturity date]],Table1[[#This Row],[Current coupon %]],Table1[[#This Row],[Average Cluster Yield]],100,Table1[[#This Row],[Coupon Frequency2]])*Table1[[#This Row],[Face value]]/100</f>
        <v>1046.3833860773871</v>
      </c>
      <c r="AC256" s="27" t="str">
        <f>IF(Table1[[#This Row],[Ask Price]]&gt;Table1[[#This Row],[Calculated Bond Price]],"Rich","Cheap")</f>
        <v>Cheap</v>
      </c>
      <c r="AD256" s="28">
        <f>PRICE(Table1[[#This Row],[Issue date]],Table1[[#This Row],[Maturity date]],Table1[[#This Row],[Current coupon %]],Table1[[#This Row],[Yield (Annualised)]]+$AE$2,100,Table1[[#This Row],[Coupon Frequency2]])*Table1[[#This Row],[Face value]]/100</f>
        <v>984.10156962372275</v>
      </c>
      <c r="AE256" s="28">
        <f>PRICE(Table1[[#This Row],[Issue date]],Table1[[#This Row],[Maturity date]],Table1[[#This Row],[Current coupon %]],Table1[[#This Row],[Yield (Annualised)]]-$AE$2,100,Table1[[#This Row],[Coupon Frequency2]])*Table1[[#This Row],[Face value]]/100</f>
        <v>1034.797771534267</v>
      </c>
      <c r="AF256" s="28">
        <f>(Table1[[#This Row],[P (+ shock)]]+Table1[[#This Row],[P (-shock)]]-2*Table1[[#This Row],[Ask Price]])/(2*Table1[[#This Row],[Ask Price]]*($AE$2^2))</f>
        <v>4.4565964221493477</v>
      </c>
    </row>
    <row r="257" spans="1:32" x14ac:dyDescent="0.25">
      <c r="A257" s="21" t="s">
        <v>572</v>
      </c>
      <c r="B257" s="3" t="s">
        <v>573</v>
      </c>
      <c r="C257" s="3" t="s">
        <v>19</v>
      </c>
      <c r="D257" s="4">
        <v>45652</v>
      </c>
      <c r="E257" s="4">
        <v>48208</v>
      </c>
      <c r="F257" s="3">
        <v>1000</v>
      </c>
      <c r="G257" s="3" t="s">
        <v>20</v>
      </c>
      <c r="H257" s="3">
        <v>950</v>
      </c>
      <c r="I257" s="3" t="s">
        <v>20</v>
      </c>
      <c r="J257" s="3">
        <v>95</v>
      </c>
      <c r="K257" s="3">
        <v>10</v>
      </c>
      <c r="L257" s="5">
        <v>9.2499999999999999E-2</v>
      </c>
      <c r="M257" s="3" t="s">
        <v>21</v>
      </c>
      <c r="N257" s="3">
        <v>2291</v>
      </c>
      <c r="O257" s="6">
        <f>Table1[[#This Row],[Current coupon %]]*Table1[[#This Row],[Face value]]/Table1[[#This Row],[Ask Price]]</f>
        <v>9.7368421052631576E-2</v>
      </c>
      <c r="P257" s="3"/>
      <c r="Q257" s="3" t="s">
        <v>22</v>
      </c>
      <c r="R257">
        <f t="shared" si="3"/>
        <v>7</v>
      </c>
      <c r="S257" s="22" cm="1">
        <f t="array" ref="S257">_xlfn.IFS(Table1[[#This Row],[Coupon frequency]]="Semi-annual",2,Table1[[#This Row],[Coupon frequency]]="Quarterly",4,Table1[[#This Row],[Coupon frequency]]="Annual",1,Table1[[#This Row],[Coupon frequency]]="Every 4 months",3,Table1[[#This Row],[Coupon frequency]]="Monthly",12)</f>
        <v>1</v>
      </c>
      <c r="T257">
        <f>Table1[[#This Row],[Term to Maturity (Years)]]*Table1[[#This Row],[Coupon Frequency2]]</f>
        <v>7</v>
      </c>
      <c r="U257">
        <f>Table1[[#This Row],[Face value]]*Table1[[#This Row],[Current coupon %]]/Table1[[#This Row],[Coupon Frequency2]]</f>
        <v>92.5</v>
      </c>
      <c r="V257" s="23">
        <f>RATE(Table1[[#This Row],[Total No. of Coupons]],Table1[[#This Row],[Coupon Amount]],-Table1[[#This Row],[Ask Price]],Table1[[#This Row],[Face value]])</f>
        <v>0.10286742751927945</v>
      </c>
      <c r="W257" s="24">
        <f>Table1[[#This Row],[IRR]]*Table1[[#This Row],[Coupon Frequency2]]</f>
        <v>0.10286742751927945</v>
      </c>
      <c r="X257" s="25" cm="1">
        <f t="array" ref="X2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57" s="26">
        <f>DURATION(Table1[[#This Row],[Issue date]],Table1[[#This Row],[Maturity date]],Table1[[#This Row],[Current coupon %]],Table1[[#This Row],[Yield (Annualised)]],Table1[[#This Row],[Coupon Frequency2]])</f>
        <v>5.4087725110646794</v>
      </c>
      <c r="Z257" s="26">
        <f>Table1[[#This Row],[Macaulay Duration in Years]]/(1+Table1[[#This Row],[IRR]])</f>
        <v>4.9042816716700326</v>
      </c>
      <c r="AA257" s="27">
        <f>VLOOKUP(Table1[[#This Row],[Yield Cluster]],'[1]Cluster Details'!$B$3:$C$16,2,0)</f>
        <v>0.11069942689191503</v>
      </c>
      <c r="AB257" s="28">
        <f>PRICE(Table1[[#This Row],[Issue date]],Table1[[#This Row],[Maturity date]],Table1[[#This Row],[Current coupon %]],Table1[[#This Row],[Average Cluster Yield]],100,Table1[[#This Row],[Coupon Frequency2]])*Table1[[#This Row],[Face value]]/100</f>
        <v>914.43417985126189</v>
      </c>
      <c r="AC257" s="27" t="str">
        <f>IF(Table1[[#This Row],[Ask Price]]&gt;Table1[[#This Row],[Calculated Bond Price]],"Rich","Cheap")</f>
        <v>Rich</v>
      </c>
      <c r="AD257" s="28">
        <f>PRICE(Table1[[#This Row],[Issue date]],Table1[[#This Row],[Maturity date]],Table1[[#This Row],[Current coupon %]],Table1[[#This Row],[Yield (Annualised)]]+$AE$2,100,Table1[[#This Row],[Coupon Frequency2]])*Table1[[#This Row],[Face value]]/100</f>
        <v>904.90736208823478</v>
      </c>
      <c r="AE257" s="28">
        <f>PRICE(Table1[[#This Row],[Issue date]],Table1[[#This Row],[Maturity date]],Table1[[#This Row],[Current coupon %]],Table1[[#This Row],[Yield (Annualised)]]-$AE$2,100,Table1[[#This Row],[Coupon Frequency2]])*Table1[[#This Row],[Face value]]/100</f>
        <v>998.16841371082808</v>
      </c>
      <c r="AF257" s="28">
        <f>(Table1[[#This Row],[P (+ shock)]]+Table1[[#This Row],[P (-shock)]]-2*Table1[[#This Row],[Ask Price]])/(2*Table1[[#This Row],[Ask Price]]*($AE$2^2))</f>
        <v>16.188293679277578</v>
      </c>
    </row>
    <row r="258" spans="1:32" x14ac:dyDescent="0.25">
      <c r="A258" s="21" t="s">
        <v>574</v>
      </c>
      <c r="B258" s="3" t="s">
        <v>575</v>
      </c>
      <c r="C258" s="3" t="s">
        <v>19</v>
      </c>
      <c r="D258" s="4">
        <v>45870</v>
      </c>
      <c r="E258" s="4">
        <v>46966</v>
      </c>
      <c r="F258" s="3">
        <v>1000</v>
      </c>
      <c r="G258" s="3" t="s">
        <v>20</v>
      </c>
      <c r="H258" s="3">
        <v>950</v>
      </c>
      <c r="I258" s="3" t="s">
        <v>20</v>
      </c>
      <c r="J258" s="3">
        <v>95</v>
      </c>
      <c r="K258" s="3">
        <v>20</v>
      </c>
      <c r="L258" s="5">
        <v>9.2499999999999999E-2</v>
      </c>
      <c r="M258" s="3" t="s">
        <v>21</v>
      </c>
      <c r="N258" s="3">
        <v>1049</v>
      </c>
      <c r="O258" s="6">
        <f>Table1[[#This Row],[Current coupon %]]*Table1[[#This Row],[Face value]]/Table1[[#This Row],[Ask Price]]</f>
        <v>9.7368421052631576E-2</v>
      </c>
      <c r="P258" s="3" t="s">
        <v>25</v>
      </c>
      <c r="Q258" s="3" t="s">
        <v>22</v>
      </c>
      <c r="R258">
        <f t="shared" si="3"/>
        <v>3</v>
      </c>
      <c r="S258" s="22" cm="1">
        <f t="array" ref="S258">_xlfn.IFS(Table1[[#This Row],[Coupon frequency]]="Semi-annual",2,Table1[[#This Row],[Coupon frequency]]="Quarterly",4,Table1[[#This Row],[Coupon frequency]]="Annual",1,Table1[[#This Row],[Coupon frequency]]="Every 4 months",3,Table1[[#This Row],[Coupon frequency]]="Monthly",12)</f>
        <v>1</v>
      </c>
      <c r="T258">
        <f>Table1[[#This Row],[Term to Maturity (Years)]]*Table1[[#This Row],[Coupon Frequency2]]</f>
        <v>3</v>
      </c>
      <c r="U258">
        <f>Table1[[#This Row],[Face value]]*Table1[[#This Row],[Current coupon %]]/Table1[[#This Row],[Coupon Frequency2]]</f>
        <v>92.5</v>
      </c>
      <c r="V258" s="23">
        <f>RATE(Table1[[#This Row],[Total No. of Coupons]],Table1[[#This Row],[Coupon Amount]],-Table1[[#This Row],[Ask Price]],Table1[[#This Row],[Face value]])</f>
        <v>0.11306999047008558</v>
      </c>
      <c r="W258" s="24">
        <f>Table1[[#This Row],[IRR]]*Table1[[#This Row],[Coupon Frequency2]]</f>
        <v>0.11306999047008558</v>
      </c>
      <c r="X258" s="25" cm="1">
        <f t="array" ref="X2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58" s="26">
        <f>DURATION(Table1[[#This Row],[Issue date]],Table1[[#This Row],[Maturity date]],Table1[[#This Row],[Current coupon %]],Table1[[#This Row],[Yield (Annualised)]],Table1[[#This Row],[Coupon Frequency2]])</f>
        <v>2.7464542197358739</v>
      </c>
      <c r="Z258" s="26">
        <f>Table1[[#This Row],[Macaulay Duration in Years]]/(1+Table1[[#This Row],[IRR]])</f>
        <v>2.4674586892563308</v>
      </c>
      <c r="AA258" s="27">
        <f>VLOOKUP(Table1[[#This Row],[Yield Cluster]],'[1]Cluster Details'!$B$3:$C$16,2,0)</f>
        <v>0.11069942689191503</v>
      </c>
      <c r="AB258" s="28">
        <f>PRICE(Table1[[#This Row],[Issue date]],Table1[[#This Row],[Maturity date]],Table1[[#This Row],[Current coupon %]],Table1[[#This Row],[Average Cluster Yield]],100,Table1[[#This Row],[Coupon Frequency2]])*Table1[[#This Row],[Face value]]/100</f>
        <v>955.57983842645069</v>
      </c>
      <c r="AC258" s="27" t="str">
        <f>IF(Table1[[#This Row],[Ask Price]]&gt;Table1[[#This Row],[Calculated Bond Price]],"Rich","Cheap")</f>
        <v>Cheap</v>
      </c>
      <c r="AD258" s="28">
        <f>PRICE(Table1[[#This Row],[Issue date]],Table1[[#This Row],[Maturity date]],Table1[[#This Row],[Current coupon %]],Table1[[#This Row],[Yield (Annualised)]]+$AE$2,100,Table1[[#This Row],[Coupon Frequency2]])*Table1[[#This Row],[Face value]]/100</f>
        <v>926.96165892042666</v>
      </c>
      <c r="AE258" s="28">
        <f>PRICE(Table1[[#This Row],[Issue date]],Table1[[#This Row],[Maturity date]],Table1[[#This Row],[Current coupon %]],Table1[[#This Row],[Yield (Annualised)]]-$AE$2,100,Table1[[#This Row],[Coupon Frequency2]])*Table1[[#This Row],[Face value]]/100</f>
        <v>973.85541959292323</v>
      </c>
      <c r="AF258" s="28">
        <f>(Table1[[#This Row],[P (+ shock)]]+Table1[[#This Row],[P (-shock)]]-2*Table1[[#This Row],[Ask Price]])/(2*Table1[[#This Row],[Ask Price]]*($AE$2^2))</f>
        <v>4.3004132281566854</v>
      </c>
    </row>
    <row r="259" spans="1:32" x14ac:dyDescent="0.25">
      <c r="A259" s="21" t="s">
        <v>576</v>
      </c>
      <c r="B259" s="3" t="s">
        <v>577</v>
      </c>
      <c r="C259" s="3" t="s">
        <v>19</v>
      </c>
      <c r="D259" s="4">
        <v>44841</v>
      </c>
      <c r="E259" s="4">
        <v>46477</v>
      </c>
      <c r="F259" s="3">
        <v>1000000</v>
      </c>
      <c r="G259" s="3" t="s">
        <v>20</v>
      </c>
      <c r="H259" s="3">
        <v>1022000</v>
      </c>
      <c r="I259" s="3" t="s">
        <v>20</v>
      </c>
      <c r="J259" s="3">
        <v>102.2</v>
      </c>
      <c r="K259" s="3">
        <v>1</v>
      </c>
      <c r="L259" s="5">
        <v>9.9499999999999991E-2</v>
      </c>
      <c r="M259" s="3" t="s">
        <v>44</v>
      </c>
      <c r="N259" s="3">
        <v>560</v>
      </c>
      <c r="O259" s="6">
        <f>Table1[[#This Row],[Current coupon %]]*Table1[[#This Row],[Face value]]/Table1[[#This Row],[Ask Price]]</f>
        <v>9.7358121330724051E-2</v>
      </c>
      <c r="P259" s="3"/>
      <c r="Q259" s="3" t="s">
        <v>22</v>
      </c>
      <c r="R259">
        <f t="shared" si="3"/>
        <v>4</v>
      </c>
      <c r="S259" s="22" cm="1">
        <f t="array" ref="S259">_xlfn.IFS(Table1[[#This Row],[Coupon frequency]]="Semi-annual",2,Table1[[#This Row],[Coupon frequency]]="Quarterly",4,Table1[[#This Row],[Coupon frequency]]="Annual",1,Table1[[#This Row],[Coupon frequency]]="Every 4 months",3,Table1[[#This Row],[Coupon frequency]]="Monthly",12)</f>
        <v>4</v>
      </c>
      <c r="T259">
        <f>Table1[[#This Row],[Term to Maturity (Years)]]*Table1[[#This Row],[Coupon Frequency2]]</f>
        <v>16</v>
      </c>
      <c r="U259">
        <f>Table1[[#This Row],[Face value]]*Table1[[#This Row],[Current coupon %]]/Table1[[#This Row],[Coupon Frequency2]]</f>
        <v>24874.999999999996</v>
      </c>
      <c r="V259" s="23">
        <f>RATE(Table1[[#This Row],[Total No. of Coupons]],Table1[[#This Row],[Coupon Amount]],-Table1[[#This Row],[Ask Price]],Table1[[#This Row],[Face value]])</f>
        <v>2.3213166517065828E-2</v>
      </c>
      <c r="W259" s="24">
        <f>Table1[[#This Row],[IRR]]*Table1[[#This Row],[Coupon Frequency2]]</f>
        <v>9.2852666068263312E-2</v>
      </c>
      <c r="X259" s="25" cm="1">
        <f t="array" ref="X2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59" s="26">
        <f>DURATION(Table1[[#This Row],[Issue date]],Table1[[#This Row],[Maturity date]],Table1[[#This Row],[Current coupon %]],Table1[[#This Row],[Yield (Annualised)]],Table1[[#This Row],[Coupon Frequency2]])</f>
        <v>3.6737357179880257</v>
      </c>
      <c r="Z259" s="26">
        <f>Table1[[#This Row],[Macaulay Duration in Years]]/(1+Table1[[#This Row],[IRR]])</f>
        <v>3.5903913653624322</v>
      </c>
      <c r="AA259" s="27">
        <f>VLOOKUP(Table1[[#This Row],[Yield Cluster]],'[1]Cluster Details'!$B$3:$C$16,2,0)</f>
        <v>7.8548801574189142E-2</v>
      </c>
      <c r="AB259" s="28">
        <f>PRICE(Table1[[#This Row],[Issue date]],Table1[[#This Row],[Maturity date]],Table1[[#This Row],[Current coupon %]],Table1[[#This Row],[Average Cluster Yield]],100,Table1[[#This Row],[Coupon Frequency2]])*Table1[[#This Row],[Face value]]/100</f>
        <v>1078474.514812533</v>
      </c>
      <c r="AC259" s="27" t="str">
        <f>IF(Table1[[#This Row],[Ask Price]]&gt;Table1[[#This Row],[Calculated Bond Price]],"Rich","Cheap")</f>
        <v>Cheap</v>
      </c>
      <c r="AD259" s="28">
        <f>PRICE(Table1[[#This Row],[Issue date]],Table1[[#This Row],[Maturity date]],Table1[[#This Row],[Current coupon %]],Table1[[#This Row],[Yield (Annualised)]]+$AE$2,100,Table1[[#This Row],[Coupon Frequency2]])*Table1[[#This Row],[Face value]]/100</f>
        <v>988061.36442840635</v>
      </c>
      <c r="AE259" s="28">
        <f>PRICE(Table1[[#This Row],[Issue date]],Table1[[#This Row],[Maturity date]],Table1[[#This Row],[Current coupon %]],Table1[[#This Row],[Yield (Annualised)]]-$AE$2,100,Table1[[#This Row],[Coupon Frequency2]])*Table1[[#This Row],[Face value]]/100</f>
        <v>1061764.934102512</v>
      </c>
      <c r="AF259" s="28">
        <f>(Table1[[#This Row],[P (+ shock)]]+Table1[[#This Row],[P (-shock)]]-2*Table1[[#This Row],[Ask Price]])/(2*Table1[[#This Row],[Ask Price]]*($AE$2^2))</f>
        <v>28.504395943827362</v>
      </c>
    </row>
    <row r="260" spans="1:32" x14ac:dyDescent="0.25">
      <c r="A260" s="21" t="s">
        <v>578</v>
      </c>
      <c r="B260" s="3" t="s">
        <v>579</v>
      </c>
      <c r="C260" s="3" t="s">
        <v>19</v>
      </c>
      <c r="D260" s="4">
        <v>43797</v>
      </c>
      <c r="E260" s="4">
        <v>47450</v>
      </c>
      <c r="F260" s="3">
        <v>1000</v>
      </c>
      <c r="G260" s="3" t="s">
        <v>20</v>
      </c>
      <c r="H260" s="3">
        <v>1069</v>
      </c>
      <c r="I260" s="3" t="s">
        <v>20</v>
      </c>
      <c r="J260" s="3">
        <v>106.899999999999</v>
      </c>
      <c r="K260" s="3">
        <v>3</v>
      </c>
      <c r="L260" s="5">
        <v>0.10400000000000001</v>
      </c>
      <c r="M260" s="3" t="s">
        <v>21</v>
      </c>
      <c r="N260" s="3">
        <v>1533</v>
      </c>
      <c r="O260" s="6">
        <f>Table1[[#This Row],[Current coupon %]]*Table1[[#This Row],[Face value]]/Table1[[#This Row],[Ask Price]]</f>
        <v>9.7287184284377937E-2</v>
      </c>
      <c r="P260" s="3"/>
      <c r="Q260" s="3" t="s">
        <v>22</v>
      </c>
      <c r="R260">
        <f t="shared" ref="R260:R323" si="4">ROUND(YEARFRAC(D260,E260),0)</f>
        <v>10</v>
      </c>
      <c r="S260" s="22" cm="1">
        <f t="array" ref="S260">_xlfn.IFS(Table1[[#This Row],[Coupon frequency]]="Semi-annual",2,Table1[[#This Row],[Coupon frequency]]="Quarterly",4,Table1[[#This Row],[Coupon frequency]]="Annual",1,Table1[[#This Row],[Coupon frequency]]="Every 4 months",3,Table1[[#This Row],[Coupon frequency]]="Monthly",12)</f>
        <v>1</v>
      </c>
      <c r="T260">
        <f>Table1[[#This Row],[Term to Maturity (Years)]]*Table1[[#This Row],[Coupon Frequency2]]</f>
        <v>10</v>
      </c>
      <c r="U260">
        <f>Table1[[#This Row],[Face value]]*Table1[[#This Row],[Current coupon %]]/Table1[[#This Row],[Coupon Frequency2]]</f>
        <v>104.00000000000001</v>
      </c>
      <c r="V260" s="23">
        <f>RATE(Table1[[#This Row],[Total No. of Coupons]],Table1[[#This Row],[Coupon Amount]],-Table1[[#This Row],[Ask Price]],Table1[[#This Row],[Face value]])</f>
        <v>9.3101205445977997E-2</v>
      </c>
      <c r="W260" s="24">
        <f>Table1[[#This Row],[IRR]]*Table1[[#This Row],[Coupon Frequency2]]</f>
        <v>9.3101205445977997E-2</v>
      </c>
      <c r="X260" s="25" cm="1">
        <f t="array" ref="X2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60" s="26">
        <f>DURATION(Table1[[#This Row],[Issue date]],Table1[[#This Row],[Maturity date]],Table1[[#This Row],[Current coupon %]],Table1[[#This Row],[Yield (Annualised)]],Table1[[#This Row],[Coupon Frequency2]])</f>
        <v>6.7819329440943097</v>
      </c>
      <c r="Z260" s="26">
        <f>Table1[[#This Row],[Macaulay Duration in Years]]/(1+Table1[[#This Row],[IRR]])</f>
        <v>6.2043046977771166</v>
      </c>
      <c r="AA260" s="27">
        <f>VLOOKUP(Table1[[#This Row],[Yield Cluster]],'[1]Cluster Details'!$B$3:$C$16,2,0)</f>
        <v>7.8548801574189142E-2</v>
      </c>
      <c r="AB260" s="28">
        <f>PRICE(Table1[[#This Row],[Issue date]],Table1[[#This Row],[Maturity date]],Table1[[#This Row],[Current coupon %]],Table1[[#This Row],[Average Cluster Yield]],100,Table1[[#This Row],[Coupon Frequency2]])*Table1[[#This Row],[Face value]]/100</f>
        <v>1171.9031355302789</v>
      </c>
      <c r="AC260" s="27" t="str">
        <f>IF(Table1[[#This Row],[Ask Price]]&gt;Table1[[#This Row],[Calculated Bond Price]],"Rich","Cheap")</f>
        <v>Cheap</v>
      </c>
      <c r="AD260" s="28">
        <f>PRICE(Table1[[#This Row],[Issue date]],Table1[[#This Row],[Maturity date]],Table1[[#This Row],[Current coupon %]],Table1[[#This Row],[Yield (Annualised)]]+$AE$2,100,Table1[[#This Row],[Coupon Frequency2]])*Table1[[#This Row],[Face value]]/100</f>
        <v>1005.4498880915831</v>
      </c>
      <c r="AE260" s="28">
        <f>PRICE(Table1[[#This Row],[Issue date]],Table1[[#This Row],[Maturity date]],Table1[[#This Row],[Current coupon %]],Table1[[#This Row],[Yield (Annualised)]]-$AE$2,100,Table1[[#This Row],[Coupon Frequency2]])*Table1[[#This Row],[Face value]]/100</f>
        <v>1138.2920280382225</v>
      </c>
      <c r="AF260" s="28">
        <f>(Table1[[#This Row],[P (+ shock)]]+Table1[[#This Row],[P (-shock)]]-2*Table1[[#This Row],[Ask Price]])/(2*Table1[[#This Row],[Ask Price]]*($AE$2^2))</f>
        <v>26.856483301243024</v>
      </c>
    </row>
    <row r="261" spans="1:32" x14ac:dyDescent="0.25">
      <c r="A261" s="21" t="s">
        <v>580</v>
      </c>
      <c r="B261" s="3" t="s">
        <v>581</v>
      </c>
      <c r="C261" s="3" t="s">
        <v>19</v>
      </c>
      <c r="D261" s="4">
        <v>44449</v>
      </c>
      <c r="E261" s="4">
        <v>46275</v>
      </c>
      <c r="F261" s="3">
        <v>1000</v>
      </c>
      <c r="G261" s="3" t="s">
        <v>20</v>
      </c>
      <c r="H261" s="3">
        <v>982</v>
      </c>
      <c r="I261" s="3" t="s">
        <v>20</v>
      </c>
      <c r="J261" s="3">
        <v>98.2</v>
      </c>
      <c r="K261" s="3">
        <v>1</v>
      </c>
      <c r="L261" s="5">
        <v>9.5500000000000002E-2</v>
      </c>
      <c r="M261" s="3" t="s">
        <v>21</v>
      </c>
      <c r="N261" s="3">
        <v>358</v>
      </c>
      <c r="O261" s="6">
        <f>Table1[[#This Row],[Current coupon %]]*Table1[[#This Row],[Face value]]/Table1[[#This Row],[Ask Price]]</f>
        <v>9.7250509164969454E-2</v>
      </c>
      <c r="P261" s="3"/>
      <c r="Q261" s="3" t="s">
        <v>22</v>
      </c>
      <c r="R261">
        <f t="shared" si="4"/>
        <v>5</v>
      </c>
      <c r="S261" s="22" cm="1">
        <f t="array" ref="S261">_xlfn.IFS(Table1[[#This Row],[Coupon frequency]]="Semi-annual",2,Table1[[#This Row],[Coupon frequency]]="Quarterly",4,Table1[[#This Row],[Coupon frequency]]="Annual",1,Table1[[#This Row],[Coupon frequency]]="Every 4 months",3,Table1[[#This Row],[Coupon frequency]]="Monthly",12)</f>
        <v>1</v>
      </c>
      <c r="T261">
        <f>Table1[[#This Row],[Term to Maturity (Years)]]*Table1[[#This Row],[Coupon Frequency2]]</f>
        <v>5</v>
      </c>
      <c r="U261">
        <f>Table1[[#This Row],[Face value]]*Table1[[#This Row],[Current coupon %]]/Table1[[#This Row],[Coupon Frequency2]]</f>
        <v>95.5</v>
      </c>
      <c r="V261" s="23">
        <f>RATE(Table1[[#This Row],[Total No. of Coupons]],Table1[[#This Row],[Coupon Amount]],-Table1[[#This Row],[Ask Price]],Table1[[#This Row],[Face value]])</f>
        <v>0.10025140468728895</v>
      </c>
      <c r="W261" s="24">
        <f>Table1[[#This Row],[IRR]]*Table1[[#This Row],[Coupon Frequency2]]</f>
        <v>0.10025140468728895</v>
      </c>
      <c r="X261" s="25" cm="1">
        <f t="array" ref="X2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61" s="26">
        <f>DURATION(Table1[[#This Row],[Issue date]],Table1[[#This Row],[Maturity date]],Table1[[#This Row],[Current coupon %]],Table1[[#This Row],[Yield (Annualised)]],Table1[[#This Row],[Coupon Frequency2]])</f>
        <v>4.1930417405953166</v>
      </c>
      <c r="Z261" s="26">
        <f>Table1[[#This Row],[Macaulay Duration in Years]]/(1+Table1[[#This Row],[IRR]])</f>
        <v>3.8109851282462612</v>
      </c>
      <c r="AA261" s="27">
        <f>VLOOKUP(Table1[[#This Row],[Yield Cluster]],'[1]Cluster Details'!$B$3:$C$16,2,0)</f>
        <v>0.11069942689191503</v>
      </c>
      <c r="AB261" s="28">
        <f>PRICE(Table1[[#This Row],[Issue date]],Table1[[#This Row],[Maturity date]],Table1[[#This Row],[Current coupon %]],Table1[[#This Row],[Average Cluster Yield]],100,Table1[[#This Row],[Coupon Frequency2]])*Table1[[#This Row],[Face value]]/100</f>
        <v>943.92318114391207</v>
      </c>
      <c r="AC261" s="27" t="str">
        <f>IF(Table1[[#This Row],[Ask Price]]&gt;Table1[[#This Row],[Calculated Bond Price]],"Rich","Cheap")</f>
        <v>Rich</v>
      </c>
      <c r="AD261" s="28">
        <f>PRICE(Table1[[#This Row],[Issue date]],Table1[[#This Row],[Maturity date]],Table1[[#This Row],[Current coupon %]],Table1[[#This Row],[Yield (Annualised)]]+$AE$2,100,Table1[[#This Row],[Coupon Frequency2]])*Table1[[#This Row],[Face value]]/100</f>
        <v>945.51478921939884</v>
      </c>
      <c r="AE261" s="28">
        <f>PRICE(Table1[[#This Row],[Issue date]],Table1[[#This Row],[Maturity date]],Table1[[#This Row],[Current coupon %]],Table1[[#This Row],[Yield (Annualised)]]-$AE$2,100,Table1[[#This Row],[Coupon Frequency2]])*Table1[[#This Row],[Face value]]/100</f>
        <v>1020.4018952223233</v>
      </c>
      <c r="AF261" s="28">
        <f>(Table1[[#This Row],[P (+ shock)]]+Table1[[#This Row],[P (-shock)]]-2*Table1[[#This Row],[Ask Price]])/(2*Table1[[#This Row],[Ask Price]]*($AE$2^2))</f>
        <v>9.75908575215011</v>
      </c>
    </row>
    <row r="262" spans="1:32" x14ac:dyDescent="0.25">
      <c r="A262" s="21" t="s">
        <v>582</v>
      </c>
      <c r="B262" s="3" t="s">
        <v>583</v>
      </c>
      <c r="C262" s="3" t="s">
        <v>19</v>
      </c>
      <c r="D262" s="4">
        <v>45499</v>
      </c>
      <c r="E262" s="4">
        <v>46229</v>
      </c>
      <c r="F262" s="3">
        <v>1000</v>
      </c>
      <c r="G262" s="3" t="s">
        <v>20</v>
      </c>
      <c r="H262" s="3">
        <v>990</v>
      </c>
      <c r="I262" s="3" t="s">
        <v>20</v>
      </c>
      <c r="J262" s="3">
        <v>99</v>
      </c>
      <c r="K262" s="3">
        <v>300</v>
      </c>
      <c r="L262" s="5">
        <v>9.5000000000000001E-2</v>
      </c>
      <c r="M262" s="3" t="s">
        <v>21</v>
      </c>
      <c r="N262" s="3">
        <v>312</v>
      </c>
      <c r="O262" s="6">
        <f>Table1[[#This Row],[Current coupon %]]*Table1[[#This Row],[Face value]]/Table1[[#This Row],[Ask Price]]</f>
        <v>9.5959595959595953E-2</v>
      </c>
      <c r="P262" s="3"/>
      <c r="Q262" s="3" t="s">
        <v>22</v>
      </c>
      <c r="R262">
        <f t="shared" si="4"/>
        <v>2</v>
      </c>
      <c r="S262" s="22" cm="1">
        <f t="array" ref="S262">_xlfn.IFS(Table1[[#This Row],[Coupon frequency]]="Semi-annual",2,Table1[[#This Row],[Coupon frequency]]="Quarterly",4,Table1[[#This Row],[Coupon frequency]]="Annual",1,Table1[[#This Row],[Coupon frequency]]="Every 4 months",3,Table1[[#This Row],[Coupon frequency]]="Monthly",12)</f>
        <v>1</v>
      </c>
      <c r="T262">
        <f>Table1[[#This Row],[Term to Maturity (Years)]]*Table1[[#This Row],[Coupon Frequency2]]</f>
        <v>2</v>
      </c>
      <c r="U262">
        <f>Table1[[#This Row],[Face value]]*Table1[[#This Row],[Current coupon %]]/Table1[[#This Row],[Coupon Frequency2]]</f>
        <v>95</v>
      </c>
      <c r="V262" s="23">
        <f>RATE(Table1[[#This Row],[Total No. of Coupons]],Table1[[#This Row],[Coupon Amount]],-Table1[[#This Row],[Ask Price]],Table1[[#This Row],[Face value]])</f>
        <v>0.10076784268527811</v>
      </c>
      <c r="W262" s="24">
        <f>Table1[[#This Row],[IRR]]*Table1[[#This Row],[Coupon Frequency2]]</f>
        <v>0.10076784268527811</v>
      </c>
      <c r="X262" s="25" cm="1">
        <f t="array" ref="X2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62" s="26">
        <f>DURATION(Table1[[#This Row],[Issue date]],Table1[[#This Row],[Maturity date]],Table1[[#This Row],[Current coupon %]],Table1[[#This Row],[Yield (Annualised)]],Table1[[#This Row],[Coupon Frequency2]])</f>
        <v>1.9128248553069043</v>
      </c>
      <c r="Z262" s="26">
        <f>Table1[[#This Row],[Macaulay Duration in Years]]/(1+Table1[[#This Row],[IRR]])</f>
        <v>1.7377186915641052</v>
      </c>
      <c r="AA262" s="27">
        <f>VLOOKUP(Table1[[#This Row],[Yield Cluster]],'[1]Cluster Details'!$B$3:$C$16,2,0)</f>
        <v>0.11069942689191503</v>
      </c>
      <c r="AB262" s="28">
        <f>PRICE(Table1[[#This Row],[Issue date]],Table1[[#This Row],[Maturity date]],Table1[[#This Row],[Current coupon %]],Table1[[#This Row],[Average Cluster Yield]],100,Table1[[#This Row],[Coupon Frequency2]])*Table1[[#This Row],[Face value]]/100</f>
        <v>973.13931428264948</v>
      </c>
      <c r="AC262" s="27" t="str">
        <f>IF(Table1[[#This Row],[Ask Price]]&gt;Table1[[#This Row],[Calculated Bond Price]],"Rich","Cheap")</f>
        <v>Rich</v>
      </c>
      <c r="AD262" s="28">
        <f>PRICE(Table1[[#This Row],[Issue date]],Table1[[#This Row],[Maturity date]],Table1[[#This Row],[Current coupon %]],Table1[[#This Row],[Yield (Annualised)]]+$AE$2,100,Table1[[#This Row],[Coupon Frequency2]])*Table1[[#This Row],[Face value]]/100</f>
        <v>973.02470821217662</v>
      </c>
      <c r="AE262" s="28">
        <f>PRICE(Table1[[#This Row],[Issue date]],Table1[[#This Row],[Maturity date]],Table1[[#This Row],[Current coupon %]],Table1[[#This Row],[Yield (Annualised)]]-$AE$2,100,Table1[[#This Row],[Coupon Frequency2]])*Table1[[#This Row],[Face value]]/100</f>
        <v>1007.4370887241181</v>
      </c>
      <c r="AF262" s="28">
        <f>(Table1[[#This Row],[P (+ shock)]]+Table1[[#This Row],[P (-shock)]]-2*Table1[[#This Row],[Ask Price]])/(2*Table1[[#This Row],[Ask Price]]*($AE$2^2))</f>
        <v>2.3323077590648058</v>
      </c>
    </row>
    <row r="263" spans="1:32" x14ac:dyDescent="0.25">
      <c r="A263" s="21" t="s">
        <v>584</v>
      </c>
      <c r="B263" s="3" t="s">
        <v>585</v>
      </c>
      <c r="C263" s="3" t="s">
        <v>19</v>
      </c>
      <c r="D263" s="4">
        <v>45309</v>
      </c>
      <c r="E263" s="4">
        <v>47136</v>
      </c>
      <c r="F263" s="3">
        <v>1000</v>
      </c>
      <c r="G263" s="3" t="s">
        <v>20</v>
      </c>
      <c r="H263" s="3">
        <v>994</v>
      </c>
      <c r="I263" s="3" t="s">
        <v>20</v>
      </c>
      <c r="J263" s="3">
        <v>99.4</v>
      </c>
      <c r="K263" s="3">
        <v>60</v>
      </c>
      <c r="L263" s="5">
        <v>9.6600000000000005E-2</v>
      </c>
      <c r="M263" s="3" t="s">
        <v>21</v>
      </c>
      <c r="N263" s="3">
        <v>1219</v>
      </c>
      <c r="O263" s="6">
        <f>Table1[[#This Row],[Current coupon %]]*Table1[[#This Row],[Face value]]/Table1[[#This Row],[Ask Price]]</f>
        <v>9.7183098591549305E-2</v>
      </c>
      <c r="P263" s="3"/>
      <c r="Q263" s="3" t="s">
        <v>22</v>
      </c>
      <c r="R263">
        <f t="shared" si="4"/>
        <v>5</v>
      </c>
      <c r="S263" s="22" cm="1">
        <f t="array" ref="S263">_xlfn.IFS(Table1[[#This Row],[Coupon frequency]]="Semi-annual",2,Table1[[#This Row],[Coupon frequency]]="Quarterly",4,Table1[[#This Row],[Coupon frequency]]="Annual",1,Table1[[#This Row],[Coupon frequency]]="Every 4 months",3,Table1[[#This Row],[Coupon frequency]]="Monthly",12)</f>
        <v>1</v>
      </c>
      <c r="T263">
        <f>Table1[[#This Row],[Term to Maturity (Years)]]*Table1[[#This Row],[Coupon Frequency2]]</f>
        <v>5</v>
      </c>
      <c r="U263">
        <f>Table1[[#This Row],[Face value]]*Table1[[#This Row],[Current coupon %]]/Table1[[#This Row],[Coupon Frequency2]]</f>
        <v>96.600000000000009</v>
      </c>
      <c r="V263" s="23">
        <f>RATE(Table1[[#This Row],[Total No. of Coupons]],Table1[[#This Row],[Coupon Amount]],-Table1[[#This Row],[Ask Price]],Table1[[#This Row],[Face value]])</f>
        <v>9.8175413993285859E-2</v>
      </c>
      <c r="W263" s="24">
        <f>Table1[[#This Row],[IRR]]*Table1[[#This Row],[Coupon Frequency2]]</f>
        <v>9.8175413993285859E-2</v>
      </c>
      <c r="X263" s="25" cm="1">
        <f t="array" ref="X2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63" s="26">
        <f>DURATION(Table1[[#This Row],[Issue date]],Table1[[#This Row],[Maturity date]],Table1[[#This Row],[Current coupon %]],Table1[[#This Row],[Yield (Annualised)]],Table1[[#This Row],[Coupon Frequency2]])</f>
        <v>4.1906897175754034</v>
      </c>
      <c r="Z263" s="26">
        <f>Table1[[#This Row],[Macaulay Duration in Years]]/(1+Table1[[#This Row],[IRR]])</f>
        <v>3.816047658849723</v>
      </c>
      <c r="AA263" s="27">
        <f>VLOOKUP(Table1[[#This Row],[Yield Cluster]],'[1]Cluster Details'!$B$3:$C$16,2,0)</f>
        <v>7.8548801574189142E-2</v>
      </c>
      <c r="AB263" s="28">
        <f>PRICE(Table1[[#This Row],[Issue date]],Table1[[#This Row],[Maturity date]],Table1[[#This Row],[Current coupon %]],Table1[[#This Row],[Average Cluster Yield]],100,Table1[[#This Row],[Coupon Frequency2]])*Table1[[#This Row],[Face value]]/100</f>
        <v>1072.3497112135456</v>
      </c>
      <c r="AC263" s="27" t="str">
        <f>IF(Table1[[#This Row],[Ask Price]]&gt;Table1[[#This Row],[Calculated Bond Price]],"Rich","Cheap")</f>
        <v>Cheap</v>
      </c>
      <c r="AD263" s="28">
        <f>PRICE(Table1[[#This Row],[Issue date]],Table1[[#This Row],[Maturity date]],Table1[[#This Row],[Current coupon %]],Table1[[#This Row],[Yield (Annualised)]]+$AE$2,100,Table1[[#This Row],[Coupon Frequency2]])*Table1[[#This Row],[Face value]]/100</f>
        <v>957.02137344029529</v>
      </c>
      <c r="AE263" s="28">
        <f>PRICE(Table1[[#This Row],[Issue date]],Table1[[#This Row],[Maturity date]],Table1[[#This Row],[Current coupon %]],Table1[[#This Row],[Yield (Annualised)]]-$AE$2,100,Table1[[#This Row],[Coupon Frequency2]])*Table1[[#This Row],[Face value]]/100</f>
        <v>1032.924425441586</v>
      </c>
      <c r="AF263" s="28">
        <f>(Table1[[#This Row],[P (+ shock)]]+Table1[[#This Row],[P (-shock)]]-2*Table1[[#This Row],[Ask Price]])/(2*Table1[[#This Row],[Ask Price]]*($AE$2^2))</f>
        <v>9.7877207338092234</v>
      </c>
    </row>
    <row r="264" spans="1:32" x14ac:dyDescent="0.25">
      <c r="A264" s="21" t="s">
        <v>586</v>
      </c>
      <c r="B264" s="3" t="s">
        <v>587</v>
      </c>
      <c r="C264" s="3" t="s">
        <v>19</v>
      </c>
      <c r="D264" s="4">
        <v>45705</v>
      </c>
      <c r="E264" s="4">
        <v>46615</v>
      </c>
      <c r="F264" s="3">
        <v>100000</v>
      </c>
      <c r="G264" s="3" t="s">
        <v>20</v>
      </c>
      <c r="H264" s="3">
        <v>98821.38</v>
      </c>
      <c r="I264" s="3" t="s">
        <v>20</v>
      </c>
      <c r="J264" s="3">
        <v>98.821380000000005</v>
      </c>
      <c r="K264" s="3">
        <v>1</v>
      </c>
      <c r="L264" s="5">
        <v>9.6000000000000002E-2</v>
      </c>
      <c r="M264" s="3" t="s">
        <v>44</v>
      </c>
      <c r="N264" s="3">
        <v>698</v>
      </c>
      <c r="O264" s="6">
        <f>Table1[[#This Row],[Current coupon %]]*Table1[[#This Row],[Face value]]/Table1[[#This Row],[Ask Price]]</f>
        <v>9.7144970045955639E-2</v>
      </c>
      <c r="P264" s="3"/>
      <c r="Q264" s="3" t="s">
        <v>22</v>
      </c>
      <c r="R264">
        <f t="shared" si="4"/>
        <v>2</v>
      </c>
      <c r="S264" s="22" cm="1">
        <f t="array" ref="S264">_xlfn.IFS(Table1[[#This Row],[Coupon frequency]]="Semi-annual",2,Table1[[#This Row],[Coupon frequency]]="Quarterly",4,Table1[[#This Row],[Coupon frequency]]="Annual",1,Table1[[#This Row],[Coupon frequency]]="Every 4 months",3,Table1[[#This Row],[Coupon frequency]]="Monthly",12)</f>
        <v>4</v>
      </c>
      <c r="T264">
        <f>Table1[[#This Row],[Term to Maturity (Years)]]*Table1[[#This Row],[Coupon Frequency2]]</f>
        <v>8</v>
      </c>
      <c r="U264">
        <f>Table1[[#This Row],[Face value]]*Table1[[#This Row],[Current coupon %]]/Table1[[#This Row],[Coupon Frequency2]]</f>
        <v>2400</v>
      </c>
      <c r="V264" s="23">
        <f>RATE(Table1[[#This Row],[Total No. of Coupons]],Table1[[#This Row],[Coupon Amount]],-Table1[[#This Row],[Ask Price]],Table1[[#This Row],[Face value]])</f>
        <v>2.5648337268624352E-2</v>
      </c>
      <c r="W264" s="24">
        <f>Table1[[#This Row],[IRR]]*Table1[[#This Row],[Coupon Frequency2]]</f>
        <v>0.10259334907449741</v>
      </c>
      <c r="X264" s="25" cm="1">
        <f t="array" ref="X2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64" s="26">
        <f>DURATION(Table1[[#This Row],[Issue date]],Table1[[#This Row],[Maturity date]],Table1[[#This Row],[Current coupon %]],Table1[[#This Row],[Yield (Annualised)]],Table1[[#This Row],[Coupon Frequency2]])</f>
        <v>2.2471881736965336</v>
      </c>
      <c r="Z264" s="26">
        <f>Table1[[#This Row],[Macaulay Duration in Years]]/(1+Table1[[#This Row],[IRR]])</f>
        <v>2.1909928501234237</v>
      </c>
      <c r="AA264" s="27">
        <f>VLOOKUP(Table1[[#This Row],[Yield Cluster]],'[1]Cluster Details'!$B$3:$C$16,2,0)</f>
        <v>0.11069942689191503</v>
      </c>
      <c r="AB264" s="28">
        <f>PRICE(Table1[[#This Row],[Issue date]],Table1[[#This Row],[Maturity date]],Table1[[#This Row],[Current coupon %]],Table1[[#This Row],[Average Cluster Yield]],100,Table1[[#This Row],[Coupon Frequency2]])*Table1[[#This Row],[Face value]]/100</f>
        <v>96830.452543150881</v>
      </c>
      <c r="AC264" s="27" t="str">
        <f>IF(Table1[[#This Row],[Ask Price]]&gt;Table1[[#This Row],[Calculated Bond Price]],"Rich","Cheap")</f>
        <v>Rich</v>
      </c>
      <c r="AD264" s="28">
        <f>PRICE(Table1[[#This Row],[Issue date]],Table1[[#This Row],[Maturity date]],Table1[[#This Row],[Current coupon %]],Table1[[#This Row],[Yield (Annualised)]]+$AE$2,100,Table1[[#This Row],[Coupon Frequency2]])*Table1[[#This Row],[Face value]]/100</f>
        <v>96430.788612455464</v>
      </c>
      <c r="AE264" s="28">
        <f>PRICE(Table1[[#This Row],[Issue date]],Table1[[#This Row],[Maturity date]],Table1[[#This Row],[Current coupon %]],Table1[[#This Row],[Yield (Annualised)]]-$AE$2,100,Table1[[#This Row],[Coupon Frequency2]])*Table1[[#This Row],[Face value]]/100</f>
        <v>100751.51856262243</v>
      </c>
      <c r="AF264" s="28">
        <f>(Table1[[#This Row],[P (+ shock)]]+Table1[[#This Row],[P (-shock)]]-2*Table1[[#This Row],[Ask Price]])/(2*Table1[[#This Row],[Ask Price]]*($AE$2^2))</f>
        <v>-23.297227023246581</v>
      </c>
    </row>
    <row r="265" spans="1:32" x14ac:dyDescent="0.25">
      <c r="A265" s="21" t="s">
        <v>588</v>
      </c>
      <c r="B265" s="3" t="s">
        <v>589</v>
      </c>
      <c r="C265" s="3" t="s">
        <v>19</v>
      </c>
      <c r="D265" s="4">
        <v>45821</v>
      </c>
      <c r="E265" s="4">
        <v>46917</v>
      </c>
      <c r="F265" s="3">
        <v>100000</v>
      </c>
      <c r="G265" s="3" t="s">
        <v>20</v>
      </c>
      <c r="H265" s="3">
        <v>99873.09</v>
      </c>
      <c r="I265" s="3" t="s">
        <v>20</v>
      </c>
      <c r="J265" s="3">
        <v>99.873089999999905</v>
      </c>
      <c r="K265" s="3">
        <v>1</v>
      </c>
      <c r="L265" s="5">
        <v>9.6999999999999989E-2</v>
      </c>
      <c r="M265" s="3" t="s">
        <v>21</v>
      </c>
      <c r="N265" s="3">
        <v>1000</v>
      </c>
      <c r="O265" s="6">
        <f>Table1[[#This Row],[Current coupon %]]*Table1[[#This Row],[Face value]]/Table1[[#This Row],[Ask Price]]</f>
        <v>9.7123259128159528E-2</v>
      </c>
      <c r="P265" s="3"/>
      <c r="Q265" s="3" t="s">
        <v>22</v>
      </c>
      <c r="R265">
        <f t="shared" si="4"/>
        <v>3</v>
      </c>
      <c r="S265" s="22" cm="1">
        <f t="array" ref="S265">_xlfn.IFS(Table1[[#This Row],[Coupon frequency]]="Semi-annual",2,Table1[[#This Row],[Coupon frequency]]="Quarterly",4,Table1[[#This Row],[Coupon frequency]]="Annual",1,Table1[[#This Row],[Coupon frequency]]="Every 4 months",3,Table1[[#This Row],[Coupon frequency]]="Monthly",12)</f>
        <v>1</v>
      </c>
      <c r="T265">
        <f>Table1[[#This Row],[Term to Maturity (Years)]]*Table1[[#This Row],[Coupon Frequency2]]</f>
        <v>3</v>
      </c>
      <c r="U265">
        <f>Table1[[#This Row],[Face value]]*Table1[[#This Row],[Current coupon %]]/Table1[[#This Row],[Coupon Frequency2]]</f>
        <v>9699.9999999999982</v>
      </c>
      <c r="V265" s="23">
        <f>RATE(Table1[[#This Row],[Total No. of Coupons]],Table1[[#This Row],[Coupon Amount]],-Table1[[#This Row],[Ask Price]],Table1[[#This Row],[Face value]])</f>
        <v>9.7508086600700747E-2</v>
      </c>
      <c r="W265" s="24">
        <f>Table1[[#This Row],[IRR]]*Table1[[#This Row],[Coupon Frequency2]]</f>
        <v>9.7508086600700747E-2</v>
      </c>
      <c r="X265" s="25" cm="1">
        <f t="array" ref="X2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65" s="26">
        <f>DURATION(Table1[[#This Row],[Issue date]],Table1[[#This Row],[Maturity date]],Table1[[#This Row],[Current coupon %]],Table1[[#This Row],[Yield (Annualised)]],Table1[[#This Row],[Coupon Frequency2]])</f>
        <v>2.7423792438597965</v>
      </c>
      <c r="Z265" s="26">
        <f>Table1[[#This Row],[Macaulay Duration in Years]]/(1+Table1[[#This Row],[IRR]])</f>
        <v>2.4987326082978907</v>
      </c>
      <c r="AA265" s="27">
        <f>VLOOKUP(Table1[[#This Row],[Yield Cluster]],'[1]Cluster Details'!$B$3:$C$16,2,0)</f>
        <v>7.8548801574189142E-2</v>
      </c>
      <c r="AB265" s="28">
        <f>PRICE(Table1[[#This Row],[Issue date]],Table1[[#This Row],[Maturity date]],Table1[[#This Row],[Current coupon %]],Table1[[#This Row],[Average Cluster Yield]],100,Table1[[#This Row],[Coupon Frequency2]])*Table1[[#This Row],[Face value]]/100</f>
        <v>104767.53161473788</v>
      </c>
      <c r="AC265" s="27" t="str">
        <f>IF(Table1[[#This Row],[Ask Price]]&gt;Table1[[#This Row],[Calculated Bond Price]],"Rich","Cheap")</f>
        <v>Cheap</v>
      </c>
      <c r="AD265" s="28">
        <f>PRICE(Table1[[#This Row],[Issue date]],Table1[[#This Row],[Maturity date]],Table1[[#This Row],[Current coupon %]],Table1[[#This Row],[Yield (Annualised)]]+$AE$2,100,Table1[[#This Row],[Coupon Frequency2]])*Table1[[#This Row],[Face value]]/100</f>
        <v>97420.953130905735</v>
      </c>
      <c r="AE265" s="28">
        <f>PRICE(Table1[[#This Row],[Issue date]],Table1[[#This Row],[Maturity date]],Table1[[#This Row],[Current coupon %]],Table1[[#This Row],[Yield (Annualised)]]-$AE$2,100,Table1[[#This Row],[Coupon Frequency2]])*Table1[[#This Row],[Face value]]/100</f>
        <v>102413.39381817119</v>
      </c>
      <c r="AF265" s="28">
        <f>(Table1[[#This Row],[P (+ shock)]]+Table1[[#This Row],[P (-shock)]]-2*Table1[[#This Row],[Ask Price]])/(2*Table1[[#This Row],[Ask Price]]*($AE$2^2))</f>
        <v>4.4139491967719868</v>
      </c>
    </row>
    <row r="266" spans="1:32" x14ac:dyDescent="0.25">
      <c r="A266" s="21" t="s">
        <v>590</v>
      </c>
      <c r="B266" s="3" t="s">
        <v>591</v>
      </c>
      <c r="C266" s="3" t="s">
        <v>19</v>
      </c>
      <c r="D266" s="4">
        <v>45667</v>
      </c>
      <c r="E266" s="4">
        <v>47858</v>
      </c>
      <c r="F266" s="3">
        <v>1000</v>
      </c>
      <c r="G266" s="3" t="s">
        <v>20</v>
      </c>
      <c r="H266" s="3">
        <v>1040</v>
      </c>
      <c r="I266" s="3" t="s">
        <v>20</v>
      </c>
      <c r="J266" s="3">
        <v>104</v>
      </c>
      <c r="K266" s="3">
        <v>275</v>
      </c>
      <c r="L266" s="5">
        <v>0.10099999999999999</v>
      </c>
      <c r="M266" s="3" t="s">
        <v>21</v>
      </c>
      <c r="N266" s="3">
        <v>1941</v>
      </c>
      <c r="O266" s="6">
        <f>Table1[[#This Row],[Current coupon %]]*Table1[[#This Row],[Face value]]/Table1[[#This Row],[Ask Price]]</f>
        <v>9.7115384615384603E-2</v>
      </c>
      <c r="P266" s="3"/>
      <c r="Q266" s="3" t="s">
        <v>22</v>
      </c>
      <c r="R266">
        <f t="shared" si="4"/>
        <v>6</v>
      </c>
      <c r="S266" s="22" cm="1">
        <f t="array" ref="S266">_xlfn.IFS(Table1[[#This Row],[Coupon frequency]]="Semi-annual",2,Table1[[#This Row],[Coupon frequency]]="Quarterly",4,Table1[[#This Row],[Coupon frequency]]="Annual",1,Table1[[#This Row],[Coupon frequency]]="Every 4 months",3,Table1[[#This Row],[Coupon frequency]]="Monthly",12)</f>
        <v>1</v>
      </c>
      <c r="T266">
        <f>Table1[[#This Row],[Term to Maturity (Years)]]*Table1[[#This Row],[Coupon Frequency2]]</f>
        <v>6</v>
      </c>
      <c r="U266">
        <f>Table1[[#This Row],[Face value]]*Table1[[#This Row],[Current coupon %]]/Table1[[#This Row],[Coupon Frequency2]]</f>
        <v>100.99999999999999</v>
      </c>
      <c r="V266" s="23">
        <f>RATE(Table1[[#This Row],[Total No. of Coupons]],Table1[[#This Row],[Coupon Amount]],-Table1[[#This Row],[Ask Price]],Table1[[#This Row],[Face value]])</f>
        <v>9.2029193989692712E-2</v>
      </c>
      <c r="W266" s="24">
        <f>Table1[[#This Row],[IRR]]*Table1[[#This Row],[Coupon Frequency2]]</f>
        <v>9.2029193989692712E-2</v>
      </c>
      <c r="X266" s="25" cm="1">
        <f t="array" ref="X2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66" s="26">
        <f>DURATION(Table1[[#This Row],[Issue date]],Table1[[#This Row],[Maturity date]],Table1[[#This Row],[Current coupon %]],Table1[[#This Row],[Yield (Annualised)]],Table1[[#This Row],[Coupon Frequency2]])</f>
        <v>4.8067649822321181</v>
      </c>
      <c r="Z266" s="26">
        <f>Table1[[#This Row],[Macaulay Duration in Years]]/(1+Table1[[#This Row],[IRR]])</f>
        <v>4.4016817578573706</v>
      </c>
      <c r="AA266" s="27">
        <f>VLOOKUP(Table1[[#This Row],[Yield Cluster]],'[1]Cluster Details'!$B$3:$C$16,2,0)</f>
        <v>7.8548801574189142E-2</v>
      </c>
      <c r="AB266" s="28">
        <f>PRICE(Table1[[#This Row],[Issue date]],Table1[[#This Row],[Maturity date]],Table1[[#This Row],[Current coupon %]],Table1[[#This Row],[Average Cluster Yield]],100,Table1[[#This Row],[Coupon Frequency2]])*Table1[[#This Row],[Face value]]/100</f>
        <v>1104.2477014318038</v>
      </c>
      <c r="AC266" s="27" t="str">
        <f>IF(Table1[[#This Row],[Ask Price]]&gt;Table1[[#This Row],[Calculated Bond Price]],"Rich","Cheap")</f>
        <v>Cheap</v>
      </c>
      <c r="AD266" s="28">
        <f>PRICE(Table1[[#This Row],[Issue date]],Table1[[#This Row],[Maturity date]],Table1[[#This Row],[Current coupon %]],Table1[[#This Row],[Yield (Annualised)]]+$AE$2,100,Table1[[#This Row],[Coupon Frequency2]])*Table1[[#This Row],[Face value]]/100</f>
        <v>995.54412159425624</v>
      </c>
      <c r="AE266" s="28">
        <f>PRICE(Table1[[#This Row],[Issue date]],Table1[[#This Row],[Maturity date]],Table1[[#This Row],[Current coupon %]],Table1[[#This Row],[Yield (Annualised)]]-$AE$2,100,Table1[[#This Row],[Coupon Frequency2]])*Table1[[#This Row],[Face value]]/100</f>
        <v>1087.1624895169889</v>
      </c>
      <c r="AF266" s="28">
        <f>(Table1[[#This Row],[P (+ shock)]]+Table1[[#This Row],[P (-shock)]]-2*Table1[[#This Row],[Ask Price]])/(2*Table1[[#This Row],[Ask Price]]*($AE$2^2))</f>
        <v>13.012553419448871</v>
      </c>
    </row>
    <row r="267" spans="1:32" x14ac:dyDescent="0.25">
      <c r="A267" s="21" t="s">
        <v>83</v>
      </c>
      <c r="B267" s="3" t="s">
        <v>84</v>
      </c>
      <c r="C267" s="3" t="s">
        <v>19</v>
      </c>
      <c r="D267" s="4">
        <v>45287</v>
      </c>
      <c r="E267" s="4">
        <v>46383</v>
      </c>
      <c r="F267" s="3">
        <v>1000</v>
      </c>
      <c r="G267" s="3" t="s">
        <v>20</v>
      </c>
      <c r="H267" s="3">
        <v>1001</v>
      </c>
      <c r="I267" s="3" t="s">
        <v>20</v>
      </c>
      <c r="J267" s="3">
        <v>100.1</v>
      </c>
      <c r="K267" s="3">
        <v>35</v>
      </c>
      <c r="L267" s="5">
        <v>9.3000000000000013E-2</v>
      </c>
      <c r="M267" s="3" t="s">
        <v>44</v>
      </c>
      <c r="N267" s="3">
        <v>466</v>
      </c>
      <c r="O267" s="6">
        <f>Table1[[#This Row],[Current coupon %]]*Table1[[#This Row],[Face value]]/Table1[[#This Row],[Ask Price]]</f>
        <v>9.2907092907092925E-2</v>
      </c>
      <c r="P267" s="3"/>
      <c r="Q267" s="3" t="s">
        <v>22</v>
      </c>
      <c r="R267">
        <f t="shared" si="4"/>
        <v>3</v>
      </c>
      <c r="S267" s="22" cm="1">
        <f t="array" ref="S267">_xlfn.IFS(Table1[[#This Row],[Coupon frequency]]="Semi-annual",2,Table1[[#This Row],[Coupon frequency]]="Quarterly",4,Table1[[#This Row],[Coupon frequency]]="Annual",1,Table1[[#This Row],[Coupon frequency]]="Every 4 months",3,Table1[[#This Row],[Coupon frequency]]="Monthly",12)</f>
        <v>4</v>
      </c>
      <c r="T267">
        <f>Table1[[#This Row],[Term to Maturity (Years)]]*Table1[[#This Row],[Coupon Frequency2]]</f>
        <v>12</v>
      </c>
      <c r="U267">
        <f>Table1[[#This Row],[Face value]]*Table1[[#This Row],[Current coupon %]]/Table1[[#This Row],[Coupon Frequency2]]</f>
        <v>23.250000000000004</v>
      </c>
      <c r="V267" s="23">
        <f>RATE(Table1[[#This Row],[Total No. of Coupons]],Table1[[#This Row],[Coupon Amount]],-Table1[[#This Row],[Ask Price]],Table1[[#This Row],[Face value]])</f>
        <v>2.315359950205249E-2</v>
      </c>
      <c r="W267" s="24">
        <f>Table1[[#This Row],[IRR]]*Table1[[#This Row],[Coupon Frequency2]]</f>
        <v>9.2614398008209961E-2</v>
      </c>
      <c r="X267" s="25" cm="1">
        <f t="array" ref="X2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67" s="26">
        <f>DURATION(Table1[[#This Row],[Issue date]],Table1[[#This Row],[Maturity date]],Table1[[#This Row],[Current coupon %]],Table1[[#This Row],[Yield (Annualised)]],Table1[[#This Row],[Coupon Frequency2]])</f>
        <v>2.6522975284523098</v>
      </c>
      <c r="Z267" s="26">
        <f>Table1[[#This Row],[Macaulay Duration in Years]]/(1+Table1[[#This Row],[IRR]])</f>
        <v>2.5922769853354648</v>
      </c>
      <c r="AA267" s="27">
        <f>VLOOKUP(Table1[[#This Row],[Yield Cluster]],'[1]Cluster Details'!$B$3:$C$16,2,0)</f>
        <v>7.8548801574189142E-2</v>
      </c>
      <c r="AB267" s="28">
        <f>PRICE(Table1[[#This Row],[Issue date]],Table1[[#This Row],[Maturity date]],Table1[[#This Row],[Current coupon %]],Table1[[#This Row],[Average Cluster Yield]],100,Table1[[#This Row],[Coupon Frequency2]])*Table1[[#This Row],[Face value]]/100</f>
        <v>1038.2918556746279</v>
      </c>
      <c r="AC267" s="27" t="str">
        <f>IF(Table1[[#This Row],[Ask Price]]&gt;Table1[[#This Row],[Calculated Bond Price]],"Rich","Cheap")</f>
        <v>Cheap</v>
      </c>
      <c r="AD267" s="28">
        <f>PRICE(Table1[[#This Row],[Issue date]],Table1[[#This Row],[Maturity date]],Table1[[#This Row],[Current coupon %]],Table1[[#This Row],[Yield (Annualised)]]+$AE$2,100,Table1[[#This Row],[Coupon Frequency2]])*Table1[[#This Row],[Face value]]/100</f>
        <v>975.44173153935901</v>
      </c>
      <c r="AE267" s="28">
        <f>PRICE(Table1[[#This Row],[Issue date]],Table1[[#This Row],[Maturity date]],Table1[[#This Row],[Current coupon %]],Table1[[#This Row],[Yield (Annualised)]]-$AE$2,100,Table1[[#This Row],[Coupon Frequency2]])*Table1[[#This Row],[Face value]]/100</f>
        <v>1027.3479275683485</v>
      </c>
      <c r="AF267" s="28">
        <f>(Table1[[#This Row],[P (+ shock)]]+Table1[[#This Row],[P (-shock)]]-2*Table1[[#This Row],[Ask Price]])/(2*Table1[[#This Row],[Ask Price]]*($AE$2^2))</f>
        <v>3.9443511873496178</v>
      </c>
    </row>
    <row r="268" spans="1:32" x14ac:dyDescent="0.25">
      <c r="A268" s="21" t="s">
        <v>85</v>
      </c>
      <c r="B268" s="3" t="s">
        <v>86</v>
      </c>
      <c r="C268" s="3" t="s">
        <v>19</v>
      </c>
      <c r="D268" s="4">
        <v>45750</v>
      </c>
      <c r="E268" s="4">
        <v>46846</v>
      </c>
      <c r="F268" s="3">
        <v>1000</v>
      </c>
      <c r="G268" s="3" t="s">
        <v>20</v>
      </c>
      <c r="H268" s="3">
        <v>1020.4</v>
      </c>
      <c r="I268" s="3" t="s">
        <v>20</v>
      </c>
      <c r="J268" s="3">
        <v>102.039999999999</v>
      </c>
      <c r="K268" s="3">
        <v>100</v>
      </c>
      <c r="L268" s="5">
        <v>0.1</v>
      </c>
      <c r="M268" s="3" t="s">
        <v>21</v>
      </c>
      <c r="N268" s="3">
        <v>929</v>
      </c>
      <c r="O268" s="6">
        <f>Table1[[#This Row],[Current coupon %]]*Table1[[#This Row],[Face value]]/Table1[[#This Row],[Ask Price]]</f>
        <v>9.8000784006272046E-2</v>
      </c>
      <c r="P268" s="3"/>
      <c r="Q268" s="3" t="s">
        <v>22</v>
      </c>
      <c r="R268">
        <f t="shared" si="4"/>
        <v>3</v>
      </c>
      <c r="S268" s="22" cm="1">
        <f t="array" ref="S268">_xlfn.IFS(Table1[[#This Row],[Coupon frequency]]="Semi-annual",2,Table1[[#This Row],[Coupon frequency]]="Quarterly",4,Table1[[#This Row],[Coupon frequency]]="Annual",1,Table1[[#This Row],[Coupon frequency]]="Every 4 months",3,Table1[[#This Row],[Coupon frequency]]="Monthly",12)</f>
        <v>1</v>
      </c>
      <c r="T268">
        <f>Table1[[#This Row],[Term to Maturity (Years)]]*Table1[[#This Row],[Coupon Frequency2]]</f>
        <v>3</v>
      </c>
      <c r="U268">
        <f>Table1[[#This Row],[Face value]]*Table1[[#This Row],[Current coupon %]]/Table1[[#This Row],[Coupon Frequency2]]</f>
        <v>100</v>
      </c>
      <c r="V268" s="23">
        <f>RATE(Table1[[#This Row],[Total No. of Coupons]],Table1[[#This Row],[Coupon Amount]],-Table1[[#This Row],[Ask Price]],Table1[[#This Row],[Face value]])</f>
        <v>9.1913386287083385E-2</v>
      </c>
      <c r="W268" s="24">
        <f>Table1[[#This Row],[IRR]]*Table1[[#This Row],[Coupon Frequency2]]</f>
        <v>9.1913386287083385E-2</v>
      </c>
      <c r="X268" s="25" cm="1">
        <f t="array" ref="X2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68" s="26">
        <f>DURATION(Table1[[#This Row],[Issue date]],Table1[[#This Row],[Maturity date]],Table1[[#This Row],[Current coupon %]],Table1[[#This Row],[Yield (Annualised)]],Table1[[#This Row],[Coupon Frequency2]])</f>
        <v>2.7383006765224467</v>
      </c>
      <c r="Z268" s="26">
        <f>Table1[[#This Row],[Macaulay Duration in Years]]/(1+Table1[[#This Row],[IRR]])</f>
        <v>2.5078002622842641</v>
      </c>
      <c r="AA268" s="27">
        <f>VLOOKUP(Table1[[#This Row],[Yield Cluster]],'[1]Cluster Details'!$B$3:$C$16,2,0)</f>
        <v>7.8548801574189142E-2</v>
      </c>
      <c r="AB268" s="28">
        <f>PRICE(Table1[[#This Row],[Issue date]],Table1[[#This Row],[Maturity date]],Table1[[#This Row],[Current coupon %]],Table1[[#This Row],[Average Cluster Yield]],100,Table1[[#This Row],[Coupon Frequency2]])*Table1[[#This Row],[Face value]]/100</f>
        <v>1055.4268965673293</v>
      </c>
      <c r="AC268" s="27" t="str">
        <f>IF(Table1[[#This Row],[Ask Price]]&gt;Table1[[#This Row],[Calculated Bond Price]],"Rich","Cheap")</f>
        <v>Cheap</v>
      </c>
      <c r="AD268" s="28">
        <f>PRICE(Table1[[#This Row],[Issue date]],Table1[[#This Row],[Maturity date]],Table1[[#This Row],[Current coupon %]],Table1[[#This Row],[Yield (Annualised)]]+$AE$2,100,Table1[[#This Row],[Coupon Frequency2]])*Table1[[#This Row],[Face value]]/100</f>
        <v>995.25767439619301</v>
      </c>
      <c r="AE268" s="28">
        <f>PRICE(Table1[[#This Row],[Issue date]],Table1[[#This Row],[Maturity date]],Table1[[#This Row],[Current coupon %]],Table1[[#This Row],[Yield (Annualised)]]-$AE$2,100,Table1[[#This Row],[Coupon Frequency2]])*Table1[[#This Row],[Face value]]/100</f>
        <v>1046.4505011755091</v>
      </c>
      <c r="AF268" s="28">
        <f>(Table1[[#This Row],[P (+ shock)]]+Table1[[#This Row],[P (-shock)]]-2*Table1[[#This Row],[Ask Price]])/(2*Table1[[#This Row],[Ask Price]]*($AE$2^2))</f>
        <v>4.4500959021082851</v>
      </c>
    </row>
    <row r="269" spans="1:32" x14ac:dyDescent="0.25">
      <c r="A269" s="21" t="s">
        <v>592</v>
      </c>
      <c r="B269" s="3" t="s">
        <v>593</v>
      </c>
      <c r="C269" s="3" t="s">
        <v>19</v>
      </c>
      <c r="D269" s="4">
        <v>45288</v>
      </c>
      <c r="E269" s="4">
        <v>48941</v>
      </c>
      <c r="F269" s="3">
        <v>100000</v>
      </c>
      <c r="G269" s="3" t="s">
        <v>20</v>
      </c>
      <c r="H269" s="3">
        <v>100000</v>
      </c>
      <c r="I269" s="3" t="s">
        <v>20</v>
      </c>
      <c r="J269" s="3">
        <v>100</v>
      </c>
      <c r="K269" s="3">
        <v>2</v>
      </c>
      <c r="L269" s="5">
        <v>9.6999999999999989E-2</v>
      </c>
      <c r="M269" s="3" t="s">
        <v>21</v>
      </c>
      <c r="N269" s="3">
        <v>3024</v>
      </c>
      <c r="O269" s="6">
        <f>Table1[[#This Row],[Current coupon %]]*Table1[[#This Row],[Face value]]/Table1[[#This Row],[Ask Price]]</f>
        <v>9.6999999999999975E-2</v>
      </c>
      <c r="P269" s="3"/>
      <c r="Q269" s="3" t="s">
        <v>22</v>
      </c>
      <c r="R269">
        <f t="shared" si="4"/>
        <v>10</v>
      </c>
      <c r="S269" s="22" cm="1">
        <f t="array" ref="S269">_xlfn.IFS(Table1[[#This Row],[Coupon frequency]]="Semi-annual",2,Table1[[#This Row],[Coupon frequency]]="Quarterly",4,Table1[[#This Row],[Coupon frequency]]="Annual",1,Table1[[#This Row],[Coupon frequency]]="Every 4 months",3,Table1[[#This Row],[Coupon frequency]]="Monthly",12)</f>
        <v>1</v>
      </c>
      <c r="T269">
        <f>Table1[[#This Row],[Term to Maturity (Years)]]*Table1[[#This Row],[Coupon Frequency2]]</f>
        <v>10</v>
      </c>
      <c r="U269">
        <f>Table1[[#This Row],[Face value]]*Table1[[#This Row],[Current coupon %]]/Table1[[#This Row],[Coupon Frequency2]]</f>
        <v>9699.9999999999982</v>
      </c>
      <c r="V269" s="23">
        <f>RATE(Table1[[#This Row],[Total No. of Coupons]],Table1[[#This Row],[Coupon Amount]],-Table1[[#This Row],[Ask Price]],Table1[[#This Row],[Face value]])</f>
        <v>9.7000000000001474E-2</v>
      </c>
      <c r="W269" s="24">
        <f>Table1[[#This Row],[IRR]]*Table1[[#This Row],[Coupon Frequency2]]</f>
        <v>9.7000000000001474E-2</v>
      </c>
      <c r="X269" s="25" cm="1">
        <f t="array" ref="X2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69" s="26">
        <f>DURATION(Table1[[#This Row],[Issue date]],Table1[[#This Row],[Maturity date]],Table1[[#This Row],[Current coupon %]],Table1[[#This Row],[Yield (Annualised)]],Table1[[#This Row],[Coupon Frequency2]])</f>
        <v>6.8283436246016329</v>
      </c>
      <c r="Z269" s="26">
        <f>Table1[[#This Row],[Macaulay Duration in Years]]/(1+Table1[[#This Row],[IRR]])</f>
        <v>6.2245611892448709</v>
      </c>
      <c r="AA269" s="27">
        <f>VLOOKUP(Table1[[#This Row],[Yield Cluster]],'[1]Cluster Details'!$B$3:$C$16,2,0)</f>
        <v>7.8548801574189142E-2</v>
      </c>
      <c r="AB269" s="28">
        <f>PRICE(Table1[[#This Row],[Issue date]],Table1[[#This Row],[Maturity date]],Table1[[#This Row],[Current coupon %]],Table1[[#This Row],[Average Cluster Yield]],100,Table1[[#This Row],[Coupon Frequency2]])*Table1[[#This Row],[Face value]]/100</f>
        <v>112462.35564479977</v>
      </c>
      <c r="AC269" s="27" t="str">
        <f>IF(Table1[[#This Row],[Ask Price]]&gt;Table1[[#This Row],[Calculated Bond Price]],"Rich","Cheap")</f>
        <v>Cheap</v>
      </c>
      <c r="AD269" s="28">
        <f>PRICE(Table1[[#This Row],[Issue date]],Table1[[#This Row],[Maturity date]],Table1[[#This Row],[Current coupon %]],Table1[[#This Row],[Yield (Annualised)]]+$AE$2,100,Table1[[#This Row],[Coupon Frequency2]])*Table1[[#This Row],[Face value]]/100</f>
        <v>94035.944042817078</v>
      </c>
      <c r="AE269" s="28">
        <f>PRICE(Table1[[#This Row],[Issue date]],Table1[[#This Row],[Maturity date]],Table1[[#This Row],[Current coupon %]],Table1[[#This Row],[Yield (Annualised)]]-$AE$2,100,Table1[[#This Row],[Coupon Frequency2]])*Table1[[#This Row],[Face value]]/100</f>
        <v>106503.27888434367</v>
      </c>
      <c r="AF269" s="28">
        <f>(Table1[[#This Row],[P (+ shock)]]+Table1[[#This Row],[P (-shock)]]-2*Table1[[#This Row],[Ask Price]])/(2*Table1[[#This Row],[Ask Price]]*($AE$2^2))</f>
        <v>26.961146358036785</v>
      </c>
    </row>
    <row r="270" spans="1:32" x14ac:dyDescent="0.25">
      <c r="A270" s="21" t="s">
        <v>594</v>
      </c>
      <c r="B270" s="3" t="s">
        <v>595</v>
      </c>
      <c r="C270" s="3" t="s">
        <v>19</v>
      </c>
      <c r="D270" s="4">
        <v>44946</v>
      </c>
      <c r="E270" s="4">
        <v>48599</v>
      </c>
      <c r="F270" s="3">
        <v>1000</v>
      </c>
      <c r="G270" s="3" t="s">
        <v>20</v>
      </c>
      <c r="H270" s="3">
        <v>1017.49</v>
      </c>
      <c r="I270" s="3" t="s">
        <v>20</v>
      </c>
      <c r="J270" s="3">
        <v>101.749</v>
      </c>
      <c r="K270" s="3">
        <v>200</v>
      </c>
      <c r="L270" s="5">
        <v>0.1045</v>
      </c>
      <c r="M270" s="3" t="s">
        <v>21</v>
      </c>
      <c r="N270" s="3">
        <v>2682</v>
      </c>
      <c r="O270" s="6">
        <f>Table1[[#This Row],[Current coupon %]]*Table1[[#This Row],[Face value]]/Table1[[#This Row],[Ask Price]]</f>
        <v>0.10270371207579436</v>
      </c>
      <c r="P270" s="3"/>
      <c r="Q270" s="3" t="s">
        <v>22</v>
      </c>
      <c r="R270">
        <f t="shared" si="4"/>
        <v>10</v>
      </c>
      <c r="S270" s="22" cm="1">
        <f t="array" ref="S270">_xlfn.IFS(Table1[[#This Row],[Coupon frequency]]="Semi-annual",2,Table1[[#This Row],[Coupon frequency]]="Quarterly",4,Table1[[#This Row],[Coupon frequency]]="Annual",1,Table1[[#This Row],[Coupon frequency]]="Every 4 months",3,Table1[[#This Row],[Coupon frequency]]="Monthly",12)</f>
        <v>1</v>
      </c>
      <c r="T270">
        <f>Table1[[#This Row],[Term to Maturity (Years)]]*Table1[[#This Row],[Coupon Frequency2]]</f>
        <v>10</v>
      </c>
      <c r="U270">
        <f>Table1[[#This Row],[Face value]]*Table1[[#This Row],[Current coupon %]]/Table1[[#This Row],[Coupon Frequency2]]</f>
        <v>104.5</v>
      </c>
      <c r="V270" s="23">
        <f>RATE(Table1[[#This Row],[Total No. of Coupons]],Table1[[#This Row],[Coupon Amount]],-Table1[[#This Row],[Ask Price]],Table1[[#This Row],[Face value]])</f>
        <v>0.10163357745210838</v>
      </c>
      <c r="W270" s="24">
        <f>Table1[[#This Row],[IRR]]*Table1[[#This Row],[Coupon Frequency2]]</f>
        <v>0.10163357745210838</v>
      </c>
      <c r="X270" s="25" cm="1">
        <f t="array" ref="X2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70" s="26">
        <f>DURATION(Table1[[#This Row],[Issue date]],Table1[[#This Row],[Maturity date]],Table1[[#This Row],[Current coupon %]],Table1[[#This Row],[Yield (Annualised)]],Table1[[#This Row],[Coupon Frequency2]])</f>
        <v>6.6873011114733627</v>
      </c>
      <c r="Z270" s="26">
        <f>Table1[[#This Row],[Macaulay Duration in Years]]/(1+Table1[[#This Row],[IRR]])</f>
        <v>6.0703497499957795</v>
      </c>
      <c r="AA270" s="27">
        <f>VLOOKUP(Table1[[#This Row],[Yield Cluster]],'[1]Cluster Details'!$B$3:$C$16,2,0)</f>
        <v>0.11069942689191503</v>
      </c>
      <c r="AB270" s="28">
        <f>PRICE(Table1[[#This Row],[Issue date]],Table1[[#This Row],[Maturity date]],Table1[[#This Row],[Current coupon %]],Table1[[#This Row],[Average Cluster Yield]],100,Table1[[#This Row],[Coupon Frequency2]])*Table1[[#This Row],[Face value]]/100</f>
        <v>963.59696641729215</v>
      </c>
      <c r="AC270" s="27" t="str">
        <f>IF(Table1[[#This Row],[Ask Price]]&gt;Table1[[#This Row],[Calculated Bond Price]],"Rich","Cheap")</f>
        <v>Rich</v>
      </c>
      <c r="AD270" s="28">
        <f>PRICE(Table1[[#This Row],[Issue date]],Table1[[#This Row],[Maturity date]],Table1[[#This Row],[Current coupon %]],Table1[[#This Row],[Yield (Annualised)]]+$AE$2,100,Table1[[#This Row],[Coupon Frequency2]])*Table1[[#This Row],[Face value]]/100</f>
        <v>958.27493304793234</v>
      </c>
      <c r="AE270" s="28">
        <f>PRICE(Table1[[#This Row],[Issue date]],Table1[[#This Row],[Maturity date]],Table1[[#This Row],[Current coupon %]],Table1[[#This Row],[Yield (Annualised)]]-$AE$2,100,Table1[[#This Row],[Coupon Frequency2]])*Table1[[#This Row],[Face value]]/100</f>
        <v>1081.9818699570021</v>
      </c>
      <c r="AF270" s="28">
        <f>(Table1[[#This Row],[P (+ shock)]]+Table1[[#This Row],[P (-shock)]]-2*Table1[[#This Row],[Ask Price]])/(2*Table1[[#This Row],[Ask Price]]*($AE$2^2))</f>
        <v>25.930490741601567</v>
      </c>
    </row>
    <row r="271" spans="1:32" x14ac:dyDescent="0.25">
      <c r="A271" s="21" t="s">
        <v>596</v>
      </c>
      <c r="B271" s="3" t="s">
        <v>597</v>
      </c>
      <c r="C271" s="3" t="s">
        <v>19</v>
      </c>
      <c r="D271" s="4">
        <v>45586</v>
      </c>
      <c r="E271" s="4">
        <v>47411</v>
      </c>
      <c r="F271" s="3">
        <v>100000</v>
      </c>
      <c r="G271" s="3" t="s">
        <v>20</v>
      </c>
      <c r="H271" s="3">
        <v>100725.15</v>
      </c>
      <c r="I271" s="3" t="s">
        <v>20</v>
      </c>
      <c r="J271" s="3">
        <v>100.72515</v>
      </c>
      <c r="K271" s="3">
        <v>5</v>
      </c>
      <c r="L271" s="5">
        <v>9.7500000000000003E-2</v>
      </c>
      <c r="M271" s="3" t="s">
        <v>21</v>
      </c>
      <c r="N271" s="3">
        <v>1494</v>
      </c>
      <c r="O271" s="6">
        <f>Table1[[#This Row],[Current coupon %]]*Table1[[#This Row],[Face value]]/Table1[[#This Row],[Ask Price]]</f>
        <v>9.6798068804067314E-2</v>
      </c>
      <c r="P271" s="3" t="s">
        <v>25</v>
      </c>
      <c r="Q271" s="3" t="s">
        <v>22</v>
      </c>
      <c r="R271">
        <f t="shared" si="4"/>
        <v>5</v>
      </c>
      <c r="S271" s="22" cm="1">
        <f t="array" ref="S271">_xlfn.IFS(Table1[[#This Row],[Coupon frequency]]="Semi-annual",2,Table1[[#This Row],[Coupon frequency]]="Quarterly",4,Table1[[#This Row],[Coupon frequency]]="Annual",1,Table1[[#This Row],[Coupon frequency]]="Every 4 months",3,Table1[[#This Row],[Coupon frequency]]="Monthly",12)</f>
        <v>1</v>
      </c>
      <c r="T271">
        <f>Table1[[#This Row],[Term to Maturity (Years)]]*Table1[[#This Row],[Coupon Frequency2]]</f>
        <v>5</v>
      </c>
      <c r="U271">
        <f>Table1[[#This Row],[Face value]]*Table1[[#This Row],[Current coupon %]]/Table1[[#This Row],[Coupon Frequency2]]</f>
        <v>9750</v>
      </c>
      <c r="V271" s="23">
        <f>RATE(Table1[[#This Row],[Total No. of Coupons]],Table1[[#This Row],[Coupon Amount]],-Table1[[#This Row],[Ask Price]],Table1[[#This Row],[Face value]])</f>
        <v>9.5608485831007506E-2</v>
      </c>
      <c r="W271" s="24">
        <f>Table1[[#This Row],[IRR]]*Table1[[#This Row],[Coupon Frequency2]]</f>
        <v>9.5608485831007506E-2</v>
      </c>
      <c r="X271" s="25" cm="1">
        <f t="array" ref="X2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1" s="26">
        <f>DURATION(Table1[[#This Row],[Issue date]],Table1[[#This Row],[Maturity date]],Table1[[#This Row],[Current coupon %]],Table1[[#This Row],[Yield (Annualised)]],Table1[[#This Row],[Coupon Frequency2]])</f>
        <v>4.1875068525692392</v>
      </c>
      <c r="Z271" s="26">
        <f>Table1[[#This Row],[Macaulay Duration in Years]]/(1+Table1[[#This Row],[IRR]])</f>
        <v>3.8220832594163956</v>
      </c>
      <c r="AA271" s="27">
        <f>VLOOKUP(Table1[[#This Row],[Yield Cluster]],'[1]Cluster Details'!$B$3:$C$16,2,0)</f>
        <v>7.8548801574189142E-2</v>
      </c>
      <c r="AB271" s="28">
        <f>PRICE(Table1[[#This Row],[Issue date]],Table1[[#This Row],[Maturity date]],Table1[[#This Row],[Current coupon %]],Table1[[#This Row],[Average Cluster Yield]],100,Table1[[#This Row],[Coupon Frequency2]])*Table1[[#This Row],[Face value]]/100</f>
        <v>107591.21270191851</v>
      </c>
      <c r="AC271" s="27" t="str">
        <f>IF(Table1[[#This Row],[Ask Price]]&gt;Table1[[#This Row],[Calculated Bond Price]],"Rich","Cheap")</f>
        <v>Cheap</v>
      </c>
      <c r="AD271" s="28">
        <f>PRICE(Table1[[#This Row],[Issue date]],Table1[[#This Row],[Maturity date]],Table1[[#This Row],[Current coupon %]],Table1[[#This Row],[Yield (Annualised)]]+$AE$2,100,Table1[[#This Row],[Coupon Frequency2]])*Table1[[#This Row],[Face value]]/100</f>
        <v>96969.747367681892</v>
      </c>
      <c r="AE271" s="28">
        <f>PRICE(Table1[[#This Row],[Issue date]],Table1[[#This Row],[Maturity date]],Table1[[#This Row],[Current coupon %]],Table1[[#This Row],[Yield (Annualised)]]-$AE$2,100,Table1[[#This Row],[Coupon Frequency2]])*Table1[[#This Row],[Face value]]/100</f>
        <v>104675.37688729451</v>
      </c>
      <c r="AF271" s="28">
        <f>(Table1[[#This Row],[P (+ shock)]]+Table1[[#This Row],[P (-shock)]]-2*Table1[[#This Row],[Ask Price]])/(2*Table1[[#This Row],[Ask Price]]*($AE$2^2))</f>
        <v>9.6710828912347555</v>
      </c>
    </row>
    <row r="272" spans="1:32" x14ac:dyDescent="0.25">
      <c r="A272" s="21" t="s">
        <v>598</v>
      </c>
      <c r="B272" s="3" t="s">
        <v>599</v>
      </c>
      <c r="C272" s="3" t="s">
        <v>19</v>
      </c>
      <c r="D272" s="4">
        <v>45184</v>
      </c>
      <c r="E272" s="4">
        <v>47011</v>
      </c>
      <c r="F272" s="3">
        <v>1000</v>
      </c>
      <c r="G272" s="3" t="s">
        <v>20</v>
      </c>
      <c r="H272" s="3">
        <v>1043.5</v>
      </c>
      <c r="I272" s="3" t="s">
        <v>20</v>
      </c>
      <c r="J272" s="3">
        <v>104.35</v>
      </c>
      <c r="K272" s="3">
        <v>300</v>
      </c>
      <c r="L272" s="5">
        <v>0.10099999999999999</v>
      </c>
      <c r="M272" s="3" t="s">
        <v>21</v>
      </c>
      <c r="N272" s="3">
        <v>1094</v>
      </c>
      <c r="O272" s="6">
        <f>Table1[[#This Row],[Current coupon %]]*Table1[[#This Row],[Face value]]/Table1[[#This Row],[Ask Price]]</f>
        <v>9.6789650215620499E-2</v>
      </c>
      <c r="P272" s="3"/>
      <c r="Q272" s="3" t="s">
        <v>22</v>
      </c>
      <c r="R272">
        <f t="shared" si="4"/>
        <v>5</v>
      </c>
      <c r="S272" s="22" cm="1">
        <f t="array" ref="S272">_xlfn.IFS(Table1[[#This Row],[Coupon frequency]]="Semi-annual",2,Table1[[#This Row],[Coupon frequency]]="Quarterly",4,Table1[[#This Row],[Coupon frequency]]="Annual",1,Table1[[#This Row],[Coupon frequency]]="Every 4 months",3,Table1[[#This Row],[Coupon frequency]]="Monthly",12)</f>
        <v>1</v>
      </c>
      <c r="T272">
        <f>Table1[[#This Row],[Term to Maturity (Years)]]*Table1[[#This Row],[Coupon Frequency2]]</f>
        <v>5</v>
      </c>
      <c r="U272">
        <f>Table1[[#This Row],[Face value]]*Table1[[#This Row],[Current coupon %]]/Table1[[#This Row],[Coupon Frequency2]]</f>
        <v>100.99999999999999</v>
      </c>
      <c r="V272" s="23">
        <f>RATE(Table1[[#This Row],[Total No. of Coupons]],Table1[[#This Row],[Coupon Amount]],-Table1[[#This Row],[Ask Price]],Table1[[#This Row],[Face value]])</f>
        <v>8.9821652853815326E-2</v>
      </c>
      <c r="W272" s="24">
        <f>Table1[[#This Row],[IRR]]*Table1[[#This Row],[Coupon Frequency2]]</f>
        <v>8.9821652853815326E-2</v>
      </c>
      <c r="X272" s="25" cm="1">
        <f t="array" ref="X2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2" s="26">
        <f>DURATION(Table1[[#This Row],[Issue date]],Table1[[#This Row],[Maturity date]],Table1[[#This Row],[Current coupon %]],Table1[[#This Row],[Yield (Annualised)]],Table1[[#This Row],[Coupon Frequency2]])</f>
        <v>4.1821075041236879</v>
      </c>
      <c r="Z272" s="26">
        <f>Table1[[#This Row],[Macaulay Duration in Years]]/(1+Table1[[#This Row],[IRR]])</f>
        <v>3.8374237593576792</v>
      </c>
      <c r="AA272" s="27">
        <f>VLOOKUP(Table1[[#This Row],[Yield Cluster]],'[1]Cluster Details'!$B$3:$C$16,2,0)</f>
        <v>7.8548801574189142E-2</v>
      </c>
      <c r="AB272" s="28">
        <f>PRICE(Table1[[#This Row],[Issue date]],Table1[[#This Row],[Maturity date]],Table1[[#This Row],[Current coupon %]],Table1[[#This Row],[Average Cluster Yield]],100,Table1[[#This Row],[Coupon Frequency2]])*Table1[[#This Row],[Face value]]/100</f>
        <v>1089.9850350203249</v>
      </c>
      <c r="AC272" s="27" t="str">
        <f>IF(Table1[[#This Row],[Ask Price]]&gt;Table1[[#This Row],[Calculated Bond Price]],"Rich","Cheap")</f>
        <v>Cheap</v>
      </c>
      <c r="AD272" s="28">
        <f>PRICE(Table1[[#This Row],[Issue date]],Table1[[#This Row],[Maturity date]],Table1[[#This Row],[Current coupon %]],Table1[[#This Row],[Yield (Annualised)]]+$AE$2,100,Table1[[#This Row],[Coupon Frequency2]])*Table1[[#This Row],[Face value]]/100</f>
        <v>1004.4688986919775</v>
      </c>
      <c r="AE272" s="28">
        <f>PRICE(Table1[[#This Row],[Issue date]],Table1[[#This Row],[Maturity date]],Table1[[#This Row],[Current coupon %]],Table1[[#This Row],[Yield (Annualised)]]-$AE$2,100,Table1[[#This Row],[Coupon Frequency2]])*Table1[[#This Row],[Face value]]/100</f>
        <v>1084.5987615700237</v>
      </c>
      <c r="AF272" s="28">
        <f>(Table1[[#This Row],[P (+ shock)]]+Table1[[#This Row],[P (-shock)]]-2*Table1[[#This Row],[Ask Price]])/(2*Table1[[#This Row],[Ask Price]]*($AE$2^2))</f>
        <v>9.9073323526664208</v>
      </c>
    </row>
    <row r="273" spans="1:32" x14ac:dyDescent="0.25">
      <c r="A273" s="21" t="s">
        <v>600</v>
      </c>
      <c r="B273" s="3" t="s">
        <v>601</v>
      </c>
      <c r="C273" s="3" t="s">
        <v>19</v>
      </c>
      <c r="D273" s="4">
        <v>45320</v>
      </c>
      <c r="E273" s="4">
        <v>47147</v>
      </c>
      <c r="F273" s="3">
        <v>1000</v>
      </c>
      <c r="G273" s="3" t="s">
        <v>20</v>
      </c>
      <c r="H273" s="3">
        <v>1044</v>
      </c>
      <c r="I273" s="3" t="s">
        <v>20</v>
      </c>
      <c r="J273" s="3">
        <v>104.4</v>
      </c>
      <c r="K273" s="3">
        <v>9</v>
      </c>
      <c r="L273" s="5">
        <v>0.10099999999999999</v>
      </c>
      <c r="M273" s="3" t="s">
        <v>21</v>
      </c>
      <c r="N273" s="3">
        <v>1230</v>
      </c>
      <c r="O273" s="6">
        <f>Table1[[#This Row],[Current coupon %]]*Table1[[#This Row],[Face value]]/Table1[[#This Row],[Ask Price]]</f>
        <v>9.6743295019157072E-2</v>
      </c>
      <c r="P273" s="3"/>
      <c r="Q273" s="3" t="s">
        <v>22</v>
      </c>
      <c r="R273">
        <f t="shared" si="4"/>
        <v>5</v>
      </c>
      <c r="S273" s="22" cm="1">
        <f t="array" ref="S273">_xlfn.IFS(Table1[[#This Row],[Coupon frequency]]="Semi-annual",2,Table1[[#This Row],[Coupon frequency]]="Quarterly",4,Table1[[#This Row],[Coupon frequency]]="Annual",1,Table1[[#This Row],[Coupon frequency]]="Every 4 months",3,Table1[[#This Row],[Coupon frequency]]="Monthly",12)</f>
        <v>1</v>
      </c>
      <c r="T273">
        <f>Table1[[#This Row],[Term to Maturity (Years)]]*Table1[[#This Row],[Coupon Frequency2]]</f>
        <v>5</v>
      </c>
      <c r="U273">
        <f>Table1[[#This Row],[Face value]]*Table1[[#This Row],[Current coupon %]]/Table1[[#This Row],[Coupon Frequency2]]</f>
        <v>100.99999999999999</v>
      </c>
      <c r="V273" s="23">
        <f>RATE(Table1[[#This Row],[Total No. of Coupons]],Table1[[#This Row],[Coupon Amount]],-Table1[[#This Row],[Ask Price]],Table1[[#This Row],[Face value]])</f>
        <v>8.9696828918388927E-2</v>
      </c>
      <c r="W273" s="24">
        <f>Table1[[#This Row],[IRR]]*Table1[[#This Row],[Coupon Frequency2]]</f>
        <v>8.9696828918388927E-2</v>
      </c>
      <c r="X273" s="25" cm="1">
        <f t="array" ref="X27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3" s="26">
        <f>DURATION(Table1[[#This Row],[Issue date]],Table1[[#This Row],[Maturity date]],Table1[[#This Row],[Current coupon %]],Table1[[#This Row],[Yield (Annualised)]],Table1[[#This Row],[Coupon Frequency2]])</f>
        <v>4.1823197519815549</v>
      </c>
      <c r="Z273" s="26">
        <f>Table1[[#This Row],[Macaulay Duration in Years]]/(1+Table1[[#This Row],[IRR]])</f>
        <v>3.8380581102845279</v>
      </c>
      <c r="AA273" s="27">
        <f>VLOOKUP(Table1[[#This Row],[Yield Cluster]],'[1]Cluster Details'!$B$3:$C$16,2,0)</f>
        <v>7.8548801574189142E-2</v>
      </c>
      <c r="AB273" s="28">
        <f>PRICE(Table1[[#This Row],[Issue date]],Table1[[#This Row],[Maturity date]],Table1[[#This Row],[Current coupon %]],Table1[[#This Row],[Average Cluster Yield]],100,Table1[[#This Row],[Coupon Frequency2]])*Table1[[#This Row],[Face value]]/100</f>
        <v>1089.9850350203249</v>
      </c>
      <c r="AC273" s="27" t="str">
        <f>IF(Table1[[#This Row],[Ask Price]]&gt;Table1[[#This Row],[Calculated Bond Price]],"Rich","Cheap")</f>
        <v>Cheap</v>
      </c>
      <c r="AD273" s="28">
        <f>PRICE(Table1[[#This Row],[Issue date]],Table1[[#This Row],[Maturity date]],Table1[[#This Row],[Current coupon %]],Table1[[#This Row],[Yield (Annualised)]]+$AE$2,100,Table1[[#This Row],[Coupon Frequency2]])*Table1[[#This Row],[Face value]]/100</f>
        <v>1004.9438721345036</v>
      </c>
      <c r="AE273" s="28">
        <f>PRICE(Table1[[#This Row],[Issue date]],Table1[[#This Row],[Maturity date]],Table1[[#This Row],[Current coupon %]],Table1[[#This Row],[Yield (Annualised)]]-$AE$2,100,Table1[[#This Row],[Coupon Frequency2]])*Table1[[#This Row],[Face value]]/100</f>
        <v>1085.1253929877719</v>
      </c>
      <c r="AF273" s="28">
        <f>(Table1[[#This Row],[P (+ shock)]]+Table1[[#This Row],[P (-shock)]]-2*Table1[[#This Row],[Ask Price]])/(2*Table1[[#This Row],[Ask Price]]*($AE$2^2))</f>
        <v>9.9102735741153385</v>
      </c>
    </row>
    <row r="274" spans="1:32" x14ac:dyDescent="0.25">
      <c r="A274" s="21" t="s">
        <v>602</v>
      </c>
      <c r="B274" s="3" t="s">
        <v>603</v>
      </c>
      <c r="C274" s="3" t="s">
        <v>19</v>
      </c>
      <c r="D274" s="4">
        <v>45365</v>
      </c>
      <c r="E274" s="4">
        <v>47191</v>
      </c>
      <c r="F274" s="3">
        <v>100000</v>
      </c>
      <c r="G274" s="3" t="s">
        <v>20</v>
      </c>
      <c r="H274" s="3">
        <v>103460</v>
      </c>
      <c r="I274" s="3" t="s">
        <v>20</v>
      </c>
      <c r="J274" s="3">
        <v>103.46</v>
      </c>
      <c r="K274" s="3">
        <v>8</v>
      </c>
      <c r="L274" s="5">
        <v>0.1</v>
      </c>
      <c r="M274" s="3" t="s">
        <v>21</v>
      </c>
      <c r="N274" s="3">
        <v>1274</v>
      </c>
      <c r="O274" s="6">
        <f>Table1[[#This Row],[Current coupon %]]*Table1[[#This Row],[Face value]]/Table1[[#This Row],[Ask Price]]</f>
        <v>9.6655712352600037E-2</v>
      </c>
      <c r="P274" s="3"/>
      <c r="Q274" s="3" t="s">
        <v>22</v>
      </c>
      <c r="R274">
        <f t="shared" si="4"/>
        <v>5</v>
      </c>
      <c r="S274" s="22" cm="1">
        <f t="array" ref="S274">_xlfn.IFS(Table1[[#This Row],[Coupon frequency]]="Semi-annual",2,Table1[[#This Row],[Coupon frequency]]="Quarterly",4,Table1[[#This Row],[Coupon frequency]]="Annual",1,Table1[[#This Row],[Coupon frequency]]="Every 4 months",3,Table1[[#This Row],[Coupon frequency]]="Monthly",12)</f>
        <v>1</v>
      </c>
      <c r="T274">
        <f>Table1[[#This Row],[Term to Maturity (Years)]]*Table1[[#This Row],[Coupon Frequency2]]</f>
        <v>5</v>
      </c>
      <c r="U274">
        <f>Table1[[#This Row],[Face value]]*Table1[[#This Row],[Current coupon %]]/Table1[[#This Row],[Coupon Frequency2]]</f>
        <v>10000</v>
      </c>
      <c r="V274" s="23">
        <f>RATE(Table1[[#This Row],[Total No. of Coupons]],Table1[[#This Row],[Coupon Amount]],-Table1[[#This Row],[Ask Price]],Table1[[#This Row],[Face value]])</f>
        <v>9.1079667618195123E-2</v>
      </c>
      <c r="W274" s="24">
        <f>Table1[[#This Row],[IRR]]*Table1[[#This Row],[Coupon Frequency2]]</f>
        <v>9.1079667618195123E-2</v>
      </c>
      <c r="X274" s="25" cm="1">
        <f t="array" ref="X27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4" s="26">
        <f>DURATION(Table1[[#This Row],[Issue date]],Table1[[#This Row],[Maturity date]],Table1[[#This Row],[Current coupon %]],Table1[[#This Row],[Yield (Annualised)]],Table1[[#This Row],[Coupon Frequency2]])</f>
        <v>4.185042452680455</v>
      </c>
      <c r="Z274" s="26">
        <f>Table1[[#This Row],[Macaulay Duration in Years]]/(1+Table1[[#This Row],[IRR]])</f>
        <v>3.8356891589926869</v>
      </c>
      <c r="AA274" s="27">
        <f>VLOOKUP(Table1[[#This Row],[Yield Cluster]],'[1]Cluster Details'!$B$3:$C$16,2,0)</f>
        <v>7.8548801574189142E-2</v>
      </c>
      <c r="AB274" s="28">
        <f>PRICE(Table1[[#This Row],[Issue date]],Table1[[#This Row],[Maturity date]],Table1[[#This Row],[Current coupon %]],Table1[[#This Row],[Average Cluster Yield]],100,Table1[[#This Row],[Coupon Frequency2]])*Table1[[#This Row],[Face value]]/100</f>
        <v>108597.70068824204</v>
      </c>
      <c r="AC274" s="27" t="str">
        <f>IF(Table1[[#This Row],[Ask Price]]&gt;Table1[[#This Row],[Calculated Bond Price]],"Rich","Cheap")</f>
        <v>Cheap</v>
      </c>
      <c r="AD274" s="28">
        <f>PRICE(Table1[[#This Row],[Issue date]],Table1[[#This Row],[Maturity date]],Table1[[#This Row],[Current coupon %]],Table1[[#This Row],[Yield (Annualised)]]+$AE$2,100,Table1[[#This Row],[Coupon Frequency2]])*Table1[[#This Row],[Face value]]/100</f>
        <v>99591.847398640704</v>
      </c>
      <c r="AE274" s="28">
        <f>PRICE(Table1[[#This Row],[Issue date]],Table1[[#This Row],[Maturity date]],Table1[[#This Row],[Current coupon %]],Table1[[#This Row],[Yield (Annualised)]]-$AE$2,100,Table1[[#This Row],[Coupon Frequency2]])*Table1[[#This Row],[Face value]]/100</f>
        <v>107532.89223025992</v>
      </c>
      <c r="AF274" s="28">
        <f>(Table1[[#This Row],[P (+ shock)]]+Table1[[#This Row],[P (-shock)]]-2*Table1[[#This Row],[Ask Price]])/(2*Table1[[#This Row],[Ask Price]]*($AE$2^2))</f>
        <v>9.8946273390986033</v>
      </c>
    </row>
    <row r="275" spans="1:32" x14ac:dyDescent="0.25">
      <c r="A275" s="21" t="s">
        <v>87</v>
      </c>
      <c r="B275" s="3" t="s">
        <v>88</v>
      </c>
      <c r="C275" s="3" t="s">
        <v>19</v>
      </c>
      <c r="D275" s="4">
        <v>45712</v>
      </c>
      <c r="E275" s="4">
        <v>46493</v>
      </c>
      <c r="F275" s="3">
        <v>10000</v>
      </c>
      <c r="G275" s="3" t="s">
        <v>20</v>
      </c>
      <c r="H275" s="3">
        <v>10159</v>
      </c>
      <c r="I275" s="3" t="s">
        <v>20</v>
      </c>
      <c r="J275" s="3">
        <v>101.59</v>
      </c>
      <c r="K275" s="3">
        <v>50</v>
      </c>
      <c r="L275" s="5">
        <v>9.8599999999999993E-2</v>
      </c>
      <c r="M275" s="3" t="s">
        <v>44</v>
      </c>
      <c r="N275" s="3">
        <v>576</v>
      </c>
      <c r="O275" s="6">
        <f>Table1[[#This Row],[Current coupon %]]*Table1[[#This Row],[Face value]]/Table1[[#This Row],[Ask Price]]</f>
        <v>9.7056796928831568E-2</v>
      </c>
      <c r="P275" s="3"/>
      <c r="Q275" s="3" t="s">
        <v>22</v>
      </c>
      <c r="R275">
        <f t="shared" si="4"/>
        <v>2</v>
      </c>
      <c r="S275" s="22" cm="1">
        <f t="array" ref="S275">_xlfn.IFS(Table1[[#This Row],[Coupon frequency]]="Semi-annual",2,Table1[[#This Row],[Coupon frequency]]="Quarterly",4,Table1[[#This Row],[Coupon frequency]]="Annual",1,Table1[[#This Row],[Coupon frequency]]="Every 4 months",3,Table1[[#This Row],[Coupon frequency]]="Monthly",12)</f>
        <v>4</v>
      </c>
      <c r="T275">
        <f>Table1[[#This Row],[Term to Maturity (Years)]]*Table1[[#This Row],[Coupon Frequency2]]</f>
        <v>8</v>
      </c>
      <c r="U275">
        <f>Table1[[#This Row],[Face value]]*Table1[[#This Row],[Current coupon %]]/Table1[[#This Row],[Coupon Frequency2]]</f>
        <v>246.49999999999997</v>
      </c>
      <c r="V275" s="23">
        <f>RATE(Table1[[#This Row],[Total No. of Coupons]],Table1[[#This Row],[Coupon Amount]],-Table1[[#This Row],[Ask Price]],Table1[[#This Row],[Face value]])</f>
        <v>2.2456454104377972E-2</v>
      </c>
      <c r="W275" s="24">
        <f>Table1[[#This Row],[IRR]]*Table1[[#This Row],[Coupon Frequency2]]</f>
        <v>8.9825816417511889E-2</v>
      </c>
      <c r="X275" s="25" cm="1">
        <f t="array" ref="X27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5" s="26">
        <f>DURATION(Table1[[#This Row],[Issue date]],Table1[[#This Row],[Maturity date]],Table1[[#This Row],[Current coupon %]],Table1[[#This Row],[Yield (Annualised)]],Table1[[#This Row],[Coupon Frequency2]])</f>
        <v>1.9418139300153652</v>
      </c>
      <c r="Z275" s="26">
        <f>Table1[[#This Row],[Macaulay Duration in Years]]/(1+Table1[[#This Row],[IRR]])</f>
        <v>1.8991654091677672</v>
      </c>
      <c r="AA275" s="27">
        <f>VLOOKUP(Table1[[#This Row],[Yield Cluster]],'[1]Cluster Details'!$B$3:$C$16,2,0)</f>
        <v>7.8548801574189142E-2</v>
      </c>
      <c r="AB275" s="28">
        <f>PRICE(Table1[[#This Row],[Issue date]],Table1[[#This Row],[Maturity date]],Table1[[#This Row],[Current coupon %]],Table1[[#This Row],[Average Cluster Yield]],100,Table1[[#This Row],[Coupon Frequency2]])*Table1[[#This Row],[Face value]]/100</f>
        <v>10391.614442411767</v>
      </c>
      <c r="AC275" s="27" t="str">
        <f>IF(Table1[[#This Row],[Ask Price]]&gt;Table1[[#This Row],[Calculated Bond Price]],"Rich","Cheap")</f>
        <v>Cheap</v>
      </c>
      <c r="AD275" s="28">
        <f>PRICE(Table1[[#This Row],[Issue date]],Table1[[#This Row],[Maturity date]],Table1[[#This Row],[Current coupon %]],Table1[[#This Row],[Yield (Annualised)]]+$AE$2,100,Table1[[#This Row],[Coupon Frequency2]])*Table1[[#This Row],[Face value]]/100</f>
        <v>9975.8563625897896</v>
      </c>
      <c r="AE275" s="28">
        <f>PRICE(Table1[[#This Row],[Issue date]],Table1[[#This Row],[Maturity date]],Table1[[#This Row],[Current coupon %]],Table1[[#This Row],[Yield (Annualised)]]-$AE$2,100,Table1[[#This Row],[Coupon Frequency2]])*Table1[[#This Row],[Face value]]/100</f>
        <v>10366.090276399613</v>
      </c>
      <c r="AF275" s="28">
        <f>(Table1[[#This Row],[P (+ shock)]]+Table1[[#This Row],[P (-shock)]]-2*Table1[[#This Row],[Ask Price]])/(2*Table1[[#This Row],[Ask Price]]*($AE$2^2))</f>
        <v>11.785923314007542</v>
      </c>
    </row>
    <row r="276" spans="1:32" x14ac:dyDescent="0.25">
      <c r="A276" s="21" t="s">
        <v>604</v>
      </c>
      <c r="B276" s="3" t="s">
        <v>605</v>
      </c>
      <c r="C276" s="3" t="s">
        <v>19</v>
      </c>
      <c r="D276" s="4">
        <v>45649</v>
      </c>
      <c r="E276" s="4">
        <v>46379</v>
      </c>
      <c r="F276" s="3">
        <v>10000</v>
      </c>
      <c r="G276" s="3" t="s">
        <v>20</v>
      </c>
      <c r="H276" s="3">
        <v>9936.0400000000009</v>
      </c>
      <c r="I276" s="3" t="s">
        <v>20</v>
      </c>
      <c r="J276" s="3">
        <v>99.360399999999998</v>
      </c>
      <c r="K276" s="3">
        <v>3</v>
      </c>
      <c r="L276" s="5">
        <v>9.6000000000000002E-2</v>
      </c>
      <c r="M276" s="3" t="s">
        <v>21</v>
      </c>
      <c r="N276" s="3">
        <v>462</v>
      </c>
      <c r="O276" s="6">
        <f>Table1[[#This Row],[Current coupon %]]*Table1[[#This Row],[Face value]]/Table1[[#This Row],[Ask Price]]</f>
        <v>9.661796852669674E-2</v>
      </c>
      <c r="P276" s="3"/>
      <c r="Q276" s="3" t="s">
        <v>22</v>
      </c>
      <c r="R276">
        <f t="shared" si="4"/>
        <v>2</v>
      </c>
      <c r="S276" s="22" cm="1">
        <f t="array" ref="S276">_xlfn.IFS(Table1[[#This Row],[Coupon frequency]]="Semi-annual",2,Table1[[#This Row],[Coupon frequency]]="Quarterly",4,Table1[[#This Row],[Coupon frequency]]="Annual",1,Table1[[#This Row],[Coupon frequency]]="Every 4 months",3,Table1[[#This Row],[Coupon frequency]]="Monthly",12)</f>
        <v>1</v>
      </c>
      <c r="T276">
        <f>Table1[[#This Row],[Term to Maturity (Years)]]*Table1[[#This Row],[Coupon Frequency2]]</f>
        <v>2</v>
      </c>
      <c r="U276">
        <f>Table1[[#This Row],[Face value]]*Table1[[#This Row],[Current coupon %]]/Table1[[#This Row],[Coupon Frequency2]]</f>
        <v>960</v>
      </c>
      <c r="V276" s="23">
        <f>RATE(Table1[[#This Row],[Total No. of Coupons]],Table1[[#This Row],[Coupon Amount]],-Table1[[#This Row],[Ask Price]],Table1[[#This Row],[Face value]])</f>
        <v>9.9683750291306758E-2</v>
      </c>
      <c r="W276" s="24">
        <f>Table1[[#This Row],[IRR]]*Table1[[#This Row],[Coupon Frequency2]]</f>
        <v>9.9683750291306758E-2</v>
      </c>
      <c r="X276" s="25" cm="1">
        <f t="array" ref="X27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6" s="26">
        <f>DURATION(Table1[[#This Row],[Issue date]],Table1[[#This Row],[Maturity date]],Table1[[#This Row],[Current coupon %]],Table1[[#This Row],[Yield (Annualised)]],Table1[[#This Row],[Coupon Frequency2]])</f>
        <v>1.9121402234950708</v>
      </c>
      <c r="Z276" s="26">
        <f>Table1[[#This Row],[Macaulay Duration in Years]]/(1+Table1[[#This Row],[IRR]])</f>
        <v>1.7388092012713146</v>
      </c>
      <c r="AA276" s="27">
        <f>VLOOKUP(Table1[[#This Row],[Yield Cluster]],'[1]Cluster Details'!$B$3:$C$16,2,0)</f>
        <v>7.8548801574189142E-2</v>
      </c>
      <c r="AB276" s="28">
        <f>PRICE(Table1[[#This Row],[Issue date]],Table1[[#This Row],[Maturity date]],Table1[[#This Row],[Current coupon %]],Table1[[#This Row],[Average Cluster Yield]],100,Table1[[#This Row],[Coupon Frequency2]])*Table1[[#This Row],[Face value]]/100</f>
        <v>10311.821374122004</v>
      </c>
      <c r="AC276" s="27" t="str">
        <f>IF(Table1[[#This Row],[Ask Price]]&gt;Table1[[#This Row],[Calculated Bond Price]],"Rich","Cheap")</f>
        <v>Cheap</v>
      </c>
      <c r="AD276" s="28">
        <f>PRICE(Table1[[#This Row],[Issue date]],Table1[[#This Row],[Maturity date]],Table1[[#This Row],[Current coupon %]],Table1[[#This Row],[Yield (Annualised)]]+$AE$2,100,Table1[[#This Row],[Coupon Frequency2]])*Table1[[#This Row],[Face value]]/100</f>
        <v>9765.5641390432829</v>
      </c>
      <c r="AE276" s="28">
        <f>PRICE(Table1[[#This Row],[Issue date]],Table1[[#This Row],[Maturity date]],Table1[[#This Row],[Current coupon %]],Table1[[#This Row],[Yield (Annualised)]]-$AE$2,100,Table1[[#This Row],[Coupon Frequency2]])*Table1[[#This Row],[Face value]]/100</f>
        <v>10111.157535044267</v>
      </c>
      <c r="AF276" s="28">
        <f>(Table1[[#This Row],[P (+ shock)]]+Table1[[#This Row],[P (-shock)]]-2*Table1[[#This Row],[Ask Price]])/(2*Table1[[#This Row],[Ask Price]]*($AE$2^2))</f>
        <v>2.3357766713651511</v>
      </c>
    </row>
    <row r="277" spans="1:32" x14ac:dyDescent="0.25">
      <c r="A277" s="21" t="s">
        <v>606</v>
      </c>
      <c r="B277" s="3" t="s">
        <v>607</v>
      </c>
      <c r="C277" s="3" t="s">
        <v>19</v>
      </c>
      <c r="D277" s="4">
        <v>43699</v>
      </c>
      <c r="E277" s="4">
        <v>46256</v>
      </c>
      <c r="F277" s="3">
        <v>1000</v>
      </c>
      <c r="G277" s="3" t="s">
        <v>20</v>
      </c>
      <c r="H277" s="3">
        <v>1004.2</v>
      </c>
      <c r="I277" s="3" t="s">
        <v>20</v>
      </c>
      <c r="J277" s="3">
        <v>100.42</v>
      </c>
      <c r="K277" s="3">
        <v>464</v>
      </c>
      <c r="L277" s="5">
        <v>9.6999999999999989E-2</v>
      </c>
      <c r="M277" s="3" t="s">
        <v>21</v>
      </c>
      <c r="N277" s="3">
        <v>339</v>
      </c>
      <c r="O277" s="6">
        <f>Table1[[#This Row],[Current coupon %]]*Table1[[#This Row],[Face value]]/Table1[[#This Row],[Ask Price]]</f>
        <v>9.6594303923521196E-2</v>
      </c>
      <c r="P277" s="3" t="s">
        <v>97</v>
      </c>
      <c r="Q277" s="3" t="s">
        <v>22</v>
      </c>
      <c r="R277">
        <f t="shared" si="4"/>
        <v>7</v>
      </c>
      <c r="S277" s="22" cm="1">
        <f t="array" ref="S277">_xlfn.IFS(Table1[[#This Row],[Coupon frequency]]="Semi-annual",2,Table1[[#This Row],[Coupon frequency]]="Quarterly",4,Table1[[#This Row],[Coupon frequency]]="Annual",1,Table1[[#This Row],[Coupon frequency]]="Every 4 months",3,Table1[[#This Row],[Coupon frequency]]="Monthly",12)</f>
        <v>1</v>
      </c>
      <c r="T277">
        <f>Table1[[#This Row],[Term to Maturity (Years)]]*Table1[[#This Row],[Coupon Frequency2]]</f>
        <v>7</v>
      </c>
      <c r="U277">
        <f>Table1[[#This Row],[Face value]]*Table1[[#This Row],[Current coupon %]]/Table1[[#This Row],[Coupon Frequency2]]</f>
        <v>96.999999999999986</v>
      </c>
      <c r="V277" s="23">
        <f>RATE(Table1[[#This Row],[Total No. of Coupons]],Table1[[#This Row],[Coupon Amount]],-Table1[[#This Row],[Ask Price]],Table1[[#This Row],[Face value]])</f>
        <v>9.6148207701052826E-2</v>
      </c>
      <c r="W277" s="24">
        <f>Table1[[#This Row],[IRR]]*Table1[[#This Row],[Coupon Frequency2]]</f>
        <v>9.6148207701052826E-2</v>
      </c>
      <c r="X277" s="25" cm="1">
        <f t="array" ref="X27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7" s="26">
        <f>DURATION(Table1[[#This Row],[Issue date]],Table1[[#This Row],[Maturity date]],Table1[[#This Row],[Current coupon %]],Table1[[#This Row],[Yield (Annualised)]],Table1[[#This Row],[Coupon Frequency2]])</f>
        <v>5.3974641999270743</v>
      </c>
      <c r="Z277" s="26">
        <f>Table1[[#This Row],[Macaulay Duration in Years]]/(1+Table1[[#This Row],[IRR]])</f>
        <v>4.92402775647205</v>
      </c>
      <c r="AA277" s="27">
        <f>VLOOKUP(Table1[[#This Row],[Yield Cluster]],'[1]Cluster Details'!$B$3:$C$16,2,0)</f>
        <v>7.8548801574189142E-2</v>
      </c>
      <c r="AB277" s="28">
        <f>PRICE(Table1[[#This Row],[Issue date]],Table1[[#This Row],[Maturity date]],Table1[[#This Row],[Current coupon %]],Table1[[#This Row],[Average Cluster Yield]],100,Table1[[#This Row],[Coupon Frequency2]])*Table1[[#This Row],[Face value]]/100</f>
        <v>1096.5424007518952</v>
      </c>
      <c r="AC277" s="27" t="str">
        <f>IF(Table1[[#This Row],[Ask Price]]&gt;Table1[[#This Row],[Calculated Bond Price]],"Rich","Cheap")</f>
        <v>Cheap</v>
      </c>
      <c r="AD277" s="28">
        <f>PRICE(Table1[[#This Row],[Issue date]],Table1[[#This Row],[Maturity date]],Table1[[#This Row],[Current coupon %]],Table1[[#This Row],[Yield (Annualised)]]+$AE$2,100,Table1[[#This Row],[Coupon Frequency2]])*Table1[[#This Row],[Face value]]/100</f>
        <v>956.35005512318753</v>
      </c>
      <c r="AE277" s="28">
        <f>PRICE(Table1[[#This Row],[Issue date]],Table1[[#This Row],[Maturity date]],Table1[[#This Row],[Current coupon %]],Table1[[#This Row],[Yield (Annualised)]]-$AE$2,100,Table1[[#This Row],[Coupon Frequency2]])*Table1[[#This Row],[Face value]]/100</f>
        <v>1055.3296530767327</v>
      </c>
      <c r="AF277" s="28">
        <f>(Table1[[#This Row],[P (+ shock)]]+Table1[[#This Row],[P (-shock)]]-2*Table1[[#This Row],[Ask Price]])/(2*Table1[[#This Row],[Ask Price]]*($AE$2^2))</f>
        <v>16.329955187811944</v>
      </c>
    </row>
    <row r="278" spans="1:32" x14ac:dyDescent="0.25">
      <c r="A278" s="21" t="s">
        <v>608</v>
      </c>
      <c r="B278" s="3" t="s">
        <v>609</v>
      </c>
      <c r="C278" s="3" t="s">
        <v>19</v>
      </c>
      <c r="D278" s="4">
        <v>43732</v>
      </c>
      <c r="E278" s="4">
        <v>47385</v>
      </c>
      <c r="F278" s="3">
        <v>1000000</v>
      </c>
      <c r="G278" s="3" t="s">
        <v>20</v>
      </c>
      <c r="H278" s="3">
        <v>940200</v>
      </c>
      <c r="I278" s="3" t="s">
        <v>20</v>
      </c>
      <c r="J278" s="3">
        <v>94.02</v>
      </c>
      <c r="K278" s="3">
        <v>2</v>
      </c>
      <c r="L278" s="5">
        <v>9.0800000000000006E-2</v>
      </c>
      <c r="M278" s="3" t="s">
        <v>21</v>
      </c>
      <c r="N278" s="3">
        <v>1468</v>
      </c>
      <c r="O278" s="6">
        <f>Table1[[#This Row],[Current coupon %]]*Table1[[#This Row],[Face value]]/Table1[[#This Row],[Ask Price]]</f>
        <v>9.6575196766645388E-2</v>
      </c>
      <c r="P278" s="3" t="s">
        <v>54</v>
      </c>
      <c r="Q278" s="3" t="s">
        <v>22</v>
      </c>
      <c r="R278">
        <f t="shared" si="4"/>
        <v>10</v>
      </c>
      <c r="S278" s="22" cm="1">
        <f t="array" ref="S278">_xlfn.IFS(Table1[[#This Row],[Coupon frequency]]="Semi-annual",2,Table1[[#This Row],[Coupon frequency]]="Quarterly",4,Table1[[#This Row],[Coupon frequency]]="Annual",1,Table1[[#This Row],[Coupon frequency]]="Every 4 months",3,Table1[[#This Row],[Coupon frequency]]="Monthly",12)</f>
        <v>1</v>
      </c>
      <c r="T278">
        <f>Table1[[#This Row],[Term to Maturity (Years)]]*Table1[[#This Row],[Coupon Frequency2]]</f>
        <v>10</v>
      </c>
      <c r="U278">
        <f>Table1[[#This Row],[Face value]]*Table1[[#This Row],[Current coupon %]]/Table1[[#This Row],[Coupon Frequency2]]</f>
        <v>90800</v>
      </c>
      <c r="V278" s="23">
        <f>RATE(Table1[[#This Row],[Total No. of Coupons]],Table1[[#This Row],[Coupon Amount]],-Table1[[#This Row],[Ask Price]],Table1[[#This Row],[Face value]])</f>
        <v>0.10055540723519429</v>
      </c>
      <c r="W278" s="24">
        <f>Table1[[#This Row],[IRR]]*Table1[[#This Row],[Coupon Frequency2]]</f>
        <v>0.10055540723519429</v>
      </c>
      <c r="X278" s="25" cm="1">
        <f t="array" ref="X27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78" s="26">
        <f>DURATION(Table1[[#This Row],[Issue date]],Table1[[#This Row],[Maturity date]],Table1[[#This Row],[Current coupon %]],Table1[[#This Row],[Yield (Annualised)]],Table1[[#This Row],[Coupon Frequency2]])</f>
        <v>6.87511927803203</v>
      </c>
      <c r="Z278" s="26">
        <f>Table1[[#This Row],[Macaulay Duration in Years]]/(1+Table1[[#This Row],[IRR]])</f>
        <v>6.2469542494944843</v>
      </c>
      <c r="AA278" s="27">
        <f>VLOOKUP(Table1[[#This Row],[Yield Cluster]],'[1]Cluster Details'!$B$3:$C$16,2,0)</f>
        <v>0.11069942689191503</v>
      </c>
      <c r="AB278" s="28">
        <f>PRICE(Table1[[#This Row],[Issue date]],Table1[[#This Row],[Maturity date]],Table1[[#This Row],[Current coupon %]],Table1[[#This Row],[Average Cluster Yield]],100,Table1[[#This Row],[Coupon Frequency2]])*Table1[[#This Row],[Face value]]/100</f>
        <v>883150.56890698371</v>
      </c>
      <c r="AC278" s="27" t="str">
        <f>IF(Table1[[#This Row],[Ask Price]]&gt;Table1[[#This Row],[Calculated Bond Price]],"Rich","Cheap")</f>
        <v>Rich</v>
      </c>
      <c r="AD278" s="28">
        <f>PRICE(Table1[[#This Row],[Issue date]],Table1[[#This Row],[Maturity date]],Table1[[#This Row],[Current coupon %]],Table1[[#This Row],[Yield (Annualised)]]+$AE$2,100,Table1[[#This Row],[Coupon Frequency2]])*Table1[[#This Row],[Face value]]/100</f>
        <v>883926.28270765056</v>
      </c>
      <c r="AE278" s="28">
        <f>PRICE(Table1[[#This Row],[Issue date]],Table1[[#This Row],[Maturity date]],Table1[[#This Row],[Current coupon %]],Table1[[#This Row],[Yield (Annualised)]]-$AE$2,100,Table1[[#This Row],[Coupon Frequency2]])*Table1[[#This Row],[Face value]]/100</f>
        <v>1001565.8824526015</v>
      </c>
      <c r="AF278" s="28">
        <f>(Table1[[#This Row],[P (+ shock)]]+Table1[[#This Row],[P (-shock)]]-2*Table1[[#This Row],[Ask Price]])/(2*Table1[[#This Row],[Ask Price]]*($AE$2^2))</f>
        <v>27.080223145352125</v>
      </c>
    </row>
    <row r="279" spans="1:32" x14ac:dyDescent="0.25">
      <c r="A279" s="21" t="s">
        <v>610</v>
      </c>
      <c r="B279" s="3" t="s">
        <v>611</v>
      </c>
      <c r="C279" s="3" t="s">
        <v>19</v>
      </c>
      <c r="D279" s="4">
        <v>45492</v>
      </c>
      <c r="E279" s="4">
        <v>46587</v>
      </c>
      <c r="F279" s="3">
        <v>100000</v>
      </c>
      <c r="G279" s="3" t="s">
        <v>20</v>
      </c>
      <c r="H279" s="3">
        <v>99937.4</v>
      </c>
      <c r="I279" s="3" t="s">
        <v>20</v>
      </c>
      <c r="J279" s="3">
        <v>99.937399999999997</v>
      </c>
      <c r="K279" s="3">
        <v>1</v>
      </c>
      <c r="L279" s="5">
        <v>9.6500000000000002E-2</v>
      </c>
      <c r="M279" s="3" t="s">
        <v>44</v>
      </c>
      <c r="N279" s="3">
        <v>670</v>
      </c>
      <c r="O279" s="6">
        <f>Table1[[#This Row],[Current coupon %]]*Table1[[#This Row],[Face value]]/Table1[[#This Row],[Ask Price]]</f>
        <v>9.6560446839721675E-2</v>
      </c>
      <c r="P279" s="3"/>
      <c r="Q279" s="3" t="s">
        <v>22</v>
      </c>
      <c r="R279">
        <f t="shared" si="4"/>
        <v>3</v>
      </c>
      <c r="S279" s="22" cm="1">
        <f t="array" ref="S279">_xlfn.IFS(Table1[[#This Row],[Coupon frequency]]="Semi-annual",2,Table1[[#This Row],[Coupon frequency]]="Quarterly",4,Table1[[#This Row],[Coupon frequency]]="Annual",1,Table1[[#This Row],[Coupon frequency]]="Every 4 months",3,Table1[[#This Row],[Coupon frequency]]="Monthly",12)</f>
        <v>4</v>
      </c>
      <c r="T279">
        <f>Table1[[#This Row],[Term to Maturity (Years)]]*Table1[[#This Row],[Coupon Frequency2]]</f>
        <v>12</v>
      </c>
      <c r="U279">
        <f>Table1[[#This Row],[Face value]]*Table1[[#This Row],[Current coupon %]]/Table1[[#This Row],[Coupon Frequency2]]</f>
        <v>2412.5</v>
      </c>
      <c r="V279" s="23">
        <f>RATE(Table1[[#This Row],[Total No. of Coupons]],Table1[[#This Row],[Coupon Amount]],-Table1[[#This Row],[Ask Price]],Table1[[#This Row],[Face value]])</f>
        <v>2.4185726456117614E-2</v>
      </c>
      <c r="W279" s="24">
        <f>Table1[[#This Row],[IRR]]*Table1[[#This Row],[Coupon Frequency2]]</f>
        <v>9.6742905824470454E-2</v>
      </c>
      <c r="X279" s="25" cm="1">
        <f t="array" ref="X27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79" s="26">
        <f>DURATION(Table1[[#This Row],[Issue date]],Table1[[#This Row],[Maturity date]],Table1[[#This Row],[Current coupon %]],Table1[[#This Row],[Yield (Annualised)]],Table1[[#This Row],[Coupon Frequency2]])</f>
        <v>2.6401402208617806</v>
      </c>
      <c r="Z279" s="26">
        <f>Table1[[#This Row],[Macaulay Duration in Years]]/(1+Table1[[#This Row],[IRR]])</f>
        <v>2.577794390864224</v>
      </c>
      <c r="AA279" s="27">
        <f>VLOOKUP(Table1[[#This Row],[Yield Cluster]],'[1]Cluster Details'!$B$3:$C$16,2,0)</f>
        <v>7.8548801574189142E-2</v>
      </c>
      <c r="AB279" s="28">
        <f>PRICE(Table1[[#This Row],[Issue date]],Table1[[#This Row],[Maturity date]],Table1[[#This Row],[Current coupon %]],Table1[[#This Row],[Average Cluster Yield]],100,Table1[[#This Row],[Coupon Frequency2]])*Table1[[#This Row],[Face value]]/100</f>
        <v>104756.59304546007</v>
      </c>
      <c r="AC279" s="27" t="str">
        <f>IF(Table1[[#This Row],[Ask Price]]&gt;Table1[[#This Row],[Calculated Bond Price]],"Rich","Cheap")</f>
        <v>Cheap</v>
      </c>
      <c r="AD279" s="28">
        <f>PRICE(Table1[[#This Row],[Issue date]],Table1[[#This Row],[Maturity date]],Table1[[#This Row],[Current coupon %]],Table1[[#This Row],[Yield (Annualised)]]+$AE$2,100,Table1[[#This Row],[Coupon Frequency2]])*Table1[[#This Row],[Face value]]/100</f>
        <v>97399.87769201347</v>
      </c>
      <c r="AE279" s="28">
        <f>PRICE(Table1[[#This Row],[Issue date]],Table1[[#This Row],[Maturity date]],Table1[[#This Row],[Current coupon %]],Table1[[#This Row],[Yield (Annualised)]]-$AE$2,100,Table1[[#This Row],[Coupon Frequency2]])*Table1[[#This Row],[Face value]]/100</f>
        <v>102553.10985125843</v>
      </c>
      <c r="AF279" s="28">
        <f>(Table1[[#This Row],[P (+ shock)]]+Table1[[#This Row],[P (-shock)]]-2*Table1[[#This Row],[Ask Price]])/(2*Table1[[#This Row],[Ask Price]]*($AE$2^2))</f>
        <v>3.911825966651342</v>
      </c>
    </row>
    <row r="280" spans="1:32" x14ac:dyDescent="0.25">
      <c r="A280" s="21" t="s">
        <v>612</v>
      </c>
      <c r="B280" s="3" t="s">
        <v>613</v>
      </c>
      <c r="C280" s="3" t="s">
        <v>19</v>
      </c>
      <c r="D280" s="4">
        <v>45443</v>
      </c>
      <c r="E280" s="4">
        <v>46538</v>
      </c>
      <c r="F280" s="3">
        <v>1000</v>
      </c>
      <c r="G280" s="3" t="s">
        <v>20</v>
      </c>
      <c r="H280" s="3">
        <v>974</v>
      </c>
      <c r="I280" s="3" t="s">
        <v>20</v>
      </c>
      <c r="J280" s="3">
        <v>97.399999999999906</v>
      </c>
      <c r="K280" s="3">
        <v>10</v>
      </c>
      <c r="L280" s="5">
        <v>9.4E-2</v>
      </c>
      <c r="M280" s="3" t="s">
        <v>21</v>
      </c>
      <c r="N280" s="3">
        <v>621</v>
      </c>
      <c r="O280" s="6">
        <f>Table1[[#This Row],[Current coupon %]]*Table1[[#This Row],[Face value]]/Table1[[#This Row],[Ask Price]]</f>
        <v>9.6509240246406572E-2</v>
      </c>
      <c r="P280" s="3" t="s">
        <v>25</v>
      </c>
      <c r="Q280" s="3" t="s">
        <v>22</v>
      </c>
      <c r="R280">
        <f t="shared" si="4"/>
        <v>3</v>
      </c>
      <c r="S280" s="22" cm="1">
        <f t="array" ref="S280">_xlfn.IFS(Table1[[#This Row],[Coupon frequency]]="Semi-annual",2,Table1[[#This Row],[Coupon frequency]]="Quarterly",4,Table1[[#This Row],[Coupon frequency]]="Annual",1,Table1[[#This Row],[Coupon frequency]]="Every 4 months",3,Table1[[#This Row],[Coupon frequency]]="Monthly",12)</f>
        <v>1</v>
      </c>
      <c r="T280">
        <f>Table1[[#This Row],[Term to Maturity (Years)]]*Table1[[#This Row],[Coupon Frequency2]]</f>
        <v>3</v>
      </c>
      <c r="U280">
        <f>Table1[[#This Row],[Face value]]*Table1[[#This Row],[Current coupon %]]/Table1[[#This Row],[Coupon Frequency2]]</f>
        <v>94</v>
      </c>
      <c r="V280" s="23">
        <f>RATE(Table1[[#This Row],[Total No. of Coupons]],Table1[[#This Row],[Coupon Amount]],-Table1[[#This Row],[Ask Price]],Table1[[#This Row],[Face value]])</f>
        <v>0.10453862519983259</v>
      </c>
      <c r="W280" s="24">
        <f>Table1[[#This Row],[IRR]]*Table1[[#This Row],[Coupon Frequency2]]</f>
        <v>0.10453862519983259</v>
      </c>
      <c r="X280" s="25" cm="1">
        <f t="array" ref="X28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80" s="26">
        <f>DURATION(Table1[[#This Row],[Issue date]],Table1[[#This Row],[Maturity date]],Table1[[#This Row],[Current coupon %]],Table1[[#This Row],[Yield (Annualised)]],Table1[[#This Row],[Coupon Frequency2]])</f>
        <v>2.7461441047593422</v>
      </c>
      <c r="Z280" s="26">
        <f>Table1[[#This Row],[Macaulay Duration in Years]]/(1+Table1[[#This Row],[IRR]])</f>
        <v>2.4862363724605023</v>
      </c>
      <c r="AA280" s="27">
        <f>VLOOKUP(Table1[[#This Row],[Yield Cluster]],'[1]Cluster Details'!$B$3:$C$16,2,0)</f>
        <v>0.11069942689191503</v>
      </c>
      <c r="AB280" s="28">
        <f>PRICE(Table1[[#This Row],[Issue date]],Table1[[#This Row],[Maturity date]],Table1[[#This Row],[Current coupon %]],Table1[[#This Row],[Average Cluster Yield]],100,Table1[[#This Row],[Coupon Frequency2]])*Table1[[#This Row],[Face value]]/100</f>
        <v>959.24095604054014</v>
      </c>
      <c r="AC280" s="27" t="str">
        <f>IF(Table1[[#This Row],[Ask Price]]&gt;Table1[[#This Row],[Calculated Bond Price]],"Rich","Cheap")</f>
        <v>Rich</v>
      </c>
      <c r="AD280" s="28">
        <f>PRICE(Table1[[#This Row],[Issue date]],Table1[[#This Row],[Maturity date]],Table1[[#This Row],[Current coupon %]],Table1[[#This Row],[Yield (Annualised)]]+$AE$2,100,Table1[[#This Row],[Coupon Frequency2]])*Table1[[#This Row],[Face value]]/100</f>
        <v>950.20301470916922</v>
      </c>
      <c r="AE280" s="28">
        <f>PRICE(Table1[[#This Row],[Issue date]],Table1[[#This Row],[Maturity date]],Table1[[#This Row],[Current coupon %]],Table1[[#This Row],[Yield (Annualised)]]-$AE$2,100,Table1[[#This Row],[Coupon Frequency2]])*Table1[[#This Row],[Face value]]/100</f>
        <v>998.64753441419771</v>
      </c>
      <c r="AF280" s="28">
        <f>(Table1[[#This Row],[P (+ shock)]]+Table1[[#This Row],[P (-shock)]]-2*Table1[[#This Row],[Ask Price]])/(2*Table1[[#This Row],[Ask Price]]*($AE$2^2))</f>
        <v>4.3662686004456779</v>
      </c>
    </row>
    <row r="281" spans="1:32" x14ac:dyDescent="0.25">
      <c r="A281" s="21" t="s">
        <v>89</v>
      </c>
      <c r="B281" s="3" t="s">
        <v>90</v>
      </c>
      <c r="C281" s="3" t="s">
        <v>19</v>
      </c>
      <c r="D281" s="4">
        <v>45644</v>
      </c>
      <c r="E281" s="4">
        <v>46738</v>
      </c>
      <c r="F281" s="3">
        <v>100000</v>
      </c>
      <c r="G281" s="3" t="s">
        <v>20</v>
      </c>
      <c r="H281" s="3">
        <v>102615</v>
      </c>
      <c r="I281" s="3" t="s">
        <v>20</v>
      </c>
      <c r="J281" s="3">
        <v>102.61499999999999</v>
      </c>
      <c r="K281" s="3">
        <v>4900</v>
      </c>
      <c r="L281" s="5">
        <v>0.1</v>
      </c>
      <c r="M281" s="3" t="s">
        <v>21</v>
      </c>
      <c r="N281" s="3">
        <v>821</v>
      </c>
      <c r="O281" s="6">
        <f>Table1[[#This Row],[Current coupon %]]*Table1[[#This Row],[Face value]]/Table1[[#This Row],[Ask Price]]</f>
        <v>9.7451639623836669E-2</v>
      </c>
      <c r="P281" s="3"/>
      <c r="Q281" s="3" t="s">
        <v>22</v>
      </c>
      <c r="R281">
        <f t="shared" si="4"/>
        <v>3</v>
      </c>
      <c r="S281" s="22" cm="1">
        <f t="array" ref="S281">_xlfn.IFS(Table1[[#This Row],[Coupon frequency]]="Semi-annual",2,Table1[[#This Row],[Coupon frequency]]="Quarterly",4,Table1[[#This Row],[Coupon frequency]]="Annual",1,Table1[[#This Row],[Coupon frequency]]="Every 4 months",3,Table1[[#This Row],[Coupon frequency]]="Monthly",12)</f>
        <v>1</v>
      </c>
      <c r="T281">
        <f>Table1[[#This Row],[Term to Maturity (Years)]]*Table1[[#This Row],[Coupon Frequency2]]</f>
        <v>3</v>
      </c>
      <c r="U281">
        <f>Table1[[#This Row],[Face value]]*Table1[[#This Row],[Current coupon %]]/Table1[[#This Row],[Coupon Frequency2]]</f>
        <v>10000</v>
      </c>
      <c r="V281" s="23">
        <f>RATE(Table1[[#This Row],[Total No. of Coupons]],Table1[[#This Row],[Coupon Amount]],-Table1[[#This Row],[Ask Price]],Table1[[#This Row],[Face value]])</f>
        <v>8.9675295864752494E-2</v>
      </c>
      <c r="W281" s="24">
        <f>Table1[[#This Row],[IRR]]*Table1[[#This Row],[Coupon Frequency2]]</f>
        <v>8.9675295864752494E-2</v>
      </c>
      <c r="X281" s="25" cm="1">
        <f t="array" ref="X28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1" s="26">
        <f>DURATION(Table1[[#This Row],[Issue date]],Table1[[#This Row],[Maturity date]],Table1[[#This Row],[Current coupon %]],Table1[[#This Row],[Yield (Annualised)]],Table1[[#This Row],[Coupon Frequency2]])</f>
        <v>2.7362866063850793</v>
      </c>
      <c r="Z281" s="26">
        <f>Table1[[#This Row],[Macaulay Duration in Years]]/(1+Table1[[#This Row],[IRR]])</f>
        <v>2.5111027264443919</v>
      </c>
      <c r="AA281" s="27">
        <f>VLOOKUP(Table1[[#This Row],[Yield Cluster]],'[1]Cluster Details'!$B$3:$C$16,2,0)</f>
        <v>7.8548801574189142E-2</v>
      </c>
      <c r="AB281" s="28">
        <f>PRICE(Table1[[#This Row],[Issue date]],Table1[[#This Row],[Maturity date]],Table1[[#This Row],[Current coupon %]],Table1[[#This Row],[Average Cluster Yield]],100,Table1[[#This Row],[Coupon Frequency2]])*Table1[[#This Row],[Face value]]/100</f>
        <v>105537.08299058297</v>
      </c>
      <c r="AC281" s="27" t="str">
        <f>IF(Table1[[#This Row],[Ask Price]]&gt;Table1[[#This Row],[Calculated Bond Price]],"Rich","Cheap")</f>
        <v>Cheap</v>
      </c>
      <c r="AD281" s="28">
        <f>PRICE(Table1[[#This Row],[Issue date]],Table1[[#This Row],[Maturity date]],Table1[[#This Row],[Current coupon %]],Table1[[#This Row],[Yield (Annualised)]]+$AE$2,100,Table1[[#This Row],[Coupon Frequency2]])*Table1[[#This Row],[Face value]]/100</f>
        <v>100079.43536905733</v>
      </c>
      <c r="AE281" s="28">
        <f>PRICE(Table1[[#This Row],[Issue date]],Table1[[#This Row],[Maturity date]],Table1[[#This Row],[Current coupon %]],Table1[[#This Row],[Yield (Annualised)]]-$AE$2,100,Table1[[#This Row],[Coupon Frequency2]])*Table1[[#This Row],[Face value]]/100</f>
        <v>105235.57891706366</v>
      </c>
      <c r="AF281" s="28">
        <f>(Table1[[#This Row],[P (+ shock)]]+Table1[[#This Row],[P (-shock)]]-2*Table1[[#This Row],[Ask Price]])/(2*Table1[[#This Row],[Ask Price]]*($AE$2^2))</f>
        <v>4.1423907869709238</v>
      </c>
    </row>
    <row r="282" spans="1:32" x14ac:dyDescent="0.25">
      <c r="A282" s="21" t="s">
        <v>614</v>
      </c>
      <c r="B282" s="3" t="s">
        <v>615</v>
      </c>
      <c r="C282" s="3" t="s">
        <v>19</v>
      </c>
      <c r="D282" s="4">
        <v>45712</v>
      </c>
      <c r="E282" s="4">
        <v>46807</v>
      </c>
      <c r="F282" s="3">
        <v>1000</v>
      </c>
      <c r="G282" s="3" t="s">
        <v>20</v>
      </c>
      <c r="H282" s="3">
        <v>1000</v>
      </c>
      <c r="I282" s="3" t="s">
        <v>20</v>
      </c>
      <c r="J282" s="3">
        <v>100</v>
      </c>
      <c r="K282" s="3">
        <v>10</v>
      </c>
      <c r="L282" s="5">
        <v>9.6500000000000002E-2</v>
      </c>
      <c r="M282" s="3" t="s">
        <v>21</v>
      </c>
      <c r="N282" s="3">
        <v>890</v>
      </c>
      <c r="O282" s="6">
        <f>Table1[[#This Row],[Current coupon %]]*Table1[[#This Row],[Face value]]/Table1[[#This Row],[Ask Price]]</f>
        <v>9.6500000000000002E-2</v>
      </c>
      <c r="P282" s="3"/>
      <c r="Q282" s="3" t="s">
        <v>22</v>
      </c>
      <c r="R282">
        <f t="shared" si="4"/>
        <v>3</v>
      </c>
      <c r="S282" s="22" cm="1">
        <f t="array" ref="S282">_xlfn.IFS(Table1[[#This Row],[Coupon frequency]]="Semi-annual",2,Table1[[#This Row],[Coupon frequency]]="Quarterly",4,Table1[[#This Row],[Coupon frequency]]="Annual",1,Table1[[#This Row],[Coupon frequency]]="Every 4 months",3,Table1[[#This Row],[Coupon frequency]]="Monthly",12)</f>
        <v>1</v>
      </c>
      <c r="T282">
        <f>Table1[[#This Row],[Term to Maturity (Years)]]*Table1[[#This Row],[Coupon Frequency2]]</f>
        <v>3</v>
      </c>
      <c r="U282">
        <f>Table1[[#This Row],[Face value]]*Table1[[#This Row],[Current coupon %]]/Table1[[#This Row],[Coupon Frequency2]]</f>
        <v>96.5</v>
      </c>
      <c r="V282" s="23">
        <f>RATE(Table1[[#This Row],[Total No. of Coupons]],Table1[[#This Row],[Coupon Amount]],-Table1[[#This Row],[Ask Price]],Table1[[#This Row],[Face value]])</f>
        <v>9.6500000000966715E-2</v>
      </c>
      <c r="W282" s="24">
        <f>Table1[[#This Row],[IRR]]*Table1[[#This Row],[Coupon Frequency2]]</f>
        <v>9.6500000000966715E-2</v>
      </c>
      <c r="X282" s="25" cm="1">
        <f t="array" ref="X28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2" s="26">
        <f>DURATION(Table1[[#This Row],[Issue date]],Table1[[#This Row],[Maturity date]],Table1[[#This Row],[Current coupon %]],Table1[[#This Row],[Yield (Annualised)]],Table1[[#This Row],[Coupon Frequency2]])</f>
        <v>2.743723396313738</v>
      </c>
      <c r="Z282" s="26">
        <f>Table1[[#This Row],[Macaulay Duration in Years]]/(1+Table1[[#This Row],[IRR]])</f>
        <v>2.5022557193901678</v>
      </c>
      <c r="AA282" s="27">
        <f>VLOOKUP(Table1[[#This Row],[Yield Cluster]],'[1]Cluster Details'!$B$3:$C$16,2,0)</f>
        <v>7.8548801574189142E-2</v>
      </c>
      <c r="AB282" s="28">
        <f>PRICE(Table1[[#This Row],[Issue date]],Table1[[#This Row],[Maturity date]],Table1[[#This Row],[Current coupon %]],Table1[[#This Row],[Average Cluster Yield]],100,Table1[[#This Row],[Coupon Frequency2]])*Table1[[#This Row],[Face value]]/100</f>
        <v>1046.3833860773871</v>
      </c>
      <c r="AC282" s="27" t="str">
        <f>IF(Table1[[#This Row],[Ask Price]]&gt;Table1[[#This Row],[Calculated Bond Price]],"Rich","Cheap")</f>
        <v>Cheap</v>
      </c>
      <c r="AD282" s="28">
        <f>PRICE(Table1[[#This Row],[Issue date]],Table1[[#This Row],[Maturity date]],Table1[[#This Row],[Current coupon %]],Table1[[#This Row],[Yield (Annualised)]]+$AE$2,100,Table1[[#This Row],[Coupon Frequency2]])*Table1[[#This Row],[Face value]]/100</f>
        <v>975.4133244594799</v>
      </c>
      <c r="AE282" s="28">
        <f>PRICE(Table1[[#This Row],[Issue date]],Table1[[#This Row],[Maturity date]],Table1[[#This Row],[Current coupon %]],Table1[[#This Row],[Yield (Annualised)]]-$AE$2,100,Table1[[#This Row],[Coupon Frequency2]])*Table1[[#This Row],[Face value]]/100</f>
        <v>1025.4716795789202</v>
      </c>
      <c r="AF282" s="28">
        <f>(Table1[[#This Row],[P (+ shock)]]+Table1[[#This Row],[P (-shock)]]-2*Table1[[#This Row],[Ask Price]])/(2*Table1[[#This Row],[Ask Price]]*($AE$2^2))</f>
        <v>4.4250201919999199</v>
      </c>
    </row>
    <row r="283" spans="1:32" x14ac:dyDescent="0.25">
      <c r="A283" s="21" t="s">
        <v>616</v>
      </c>
      <c r="B283" s="3" t="s">
        <v>617</v>
      </c>
      <c r="C283" s="3" t="s">
        <v>19</v>
      </c>
      <c r="D283" s="4">
        <v>45667</v>
      </c>
      <c r="E283" s="4">
        <v>46762</v>
      </c>
      <c r="F283" s="3">
        <v>1000</v>
      </c>
      <c r="G283" s="3" t="s">
        <v>20</v>
      </c>
      <c r="H283" s="3">
        <v>1000</v>
      </c>
      <c r="I283" s="3" t="s">
        <v>20</v>
      </c>
      <c r="J283" s="3">
        <v>100</v>
      </c>
      <c r="K283" s="3">
        <v>10</v>
      </c>
      <c r="L283" s="5">
        <v>9.6500000000000002E-2</v>
      </c>
      <c r="M283" s="3" t="s">
        <v>21</v>
      </c>
      <c r="N283" s="3">
        <v>845</v>
      </c>
      <c r="O283" s="6">
        <f>Table1[[#This Row],[Current coupon %]]*Table1[[#This Row],[Face value]]/Table1[[#This Row],[Ask Price]]</f>
        <v>9.6500000000000002E-2</v>
      </c>
      <c r="P283" s="3"/>
      <c r="Q283" s="3" t="s">
        <v>22</v>
      </c>
      <c r="R283">
        <f t="shared" si="4"/>
        <v>3</v>
      </c>
      <c r="S283" s="22" cm="1">
        <f t="array" ref="S283">_xlfn.IFS(Table1[[#This Row],[Coupon frequency]]="Semi-annual",2,Table1[[#This Row],[Coupon frequency]]="Quarterly",4,Table1[[#This Row],[Coupon frequency]]="Annual",1,Table1[[#This Row],[Coupon frequency]]="Every 4 months",3,Table1[[#This Row],[Coupon frequency]]="Monthly",12)</f>
        <v>1</v>
      </c>
      <c r="T283">
        <f>Table1[[#This Row],[Term to Maturity (Years)]]*Table1[[#This Row],[Coupon Frequency2]]</f>
        <v>3</v>
      </c>
      <c r="U283">
        <f>Table1[[#This Row],[Face value]]*Table1[[#This Row],[Current coupon %]]/Table1[[#This Row],[Coupon Frequency2]]</f>
        <v>96.5</v>
      </c>
      <c r="V283" s="23">
        <f>RATE(Table1[[#This Row],[Total No. of Coupons]],Table1[[#This Row],[Coupon Amount]],-Table1[[#This Row],[Ask Price]],Table1[[#This Row],[Face value]])</f>
        <v>9.6500000000966715E-2</v>
      </c>
      <c r="W283" s="24">
        <f>Table1[[#This Row],[IRR]]*Table1[[#This Row],[Coupon Frequency2]]</f>
        <v>9.6500000000966715E-2</v>
      </c>
      <c r="X283" s="25" cm="1">
        <f t="array" ref="X28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3" s="26">
        <f>DURATION(Table1[[#This Row],[Issue date]],Table1[[#This Row],[Maturity date]],Table1[[#This Row],[Current coupon %]],Table1[[#This Row],[Yield (Annualised)]],Table1[[#This Row],[Coupon Frequency2]])</f>
        <v>2.743723396313738</v>
      </c>
      <c r="Z283" s="26">
        <f>Table1[[#This Row],[Macaulay Duration in Years]]/(1+Table1[[#This Row],[IRR]])</f>
        <v>2.5022557193901678</v>
      </c>
      <c r="AA283" s="27">
        <f>VLOOKUP(Table1[[#This Row],[Yield Cluster]],'[1]Cluster Details'!$B$3:$C$16,2,0)</f>
        <v>7.8548801574189142E-2</v>
      </c>
      <c r="AB283" s="28">
        <f>PRICE(Table1[[#This Row],[Issue date]],Table1[[#This Row],[Maturity date]],Table1[[#This Row],[Current coupon %]],Table1[[#This Row],[Average Cluster Yield]],100,Table1[[#This Row],[Coupon Frequency2]])*Table1[[#This Row],[Face value]]/100</f>
        <v>1046.3833860773871</v>
      </c>
      <c r="AC283" s="27" t="str">
        <f>IF(Table1[[#This Row],[Ask Price]]&gt;Table1[[#This Row],[Calculated Bond Price]],"Rich","Cheap")</f>
        <v>Cheap</v>
      </c>
      <c r="AD283" s="28">
        <f>PRICE(Table1[[#This Row],[Issue date]],Table1[[#This Row],[Maturity date]],Table1[[#This Row],[Current coupon %]],Table1[[#This Row],[Yield (Annualised)]]+$AE$2,100,Table1[[#This Row],[Coupon Frequency2]])*Table1[[#This Row],[Face value]]/100</f>
        <v>975.4133244594799</v>
      </c>
      <c r="AE283" s="28">
        <f>PRICE(Table1[[#This Row],[Issue date]],Table1[[#This Row],[Maturity date]],Table1[[#This Row],[Current coupon %]],Table1[[#This Row],[Yield (Annualised)]]-$AE$2,100,Table1[[#This Row],[Coupon Frequency2]])*Table1[[#This Row],[Face value]]/100</f>
        <v>1025.4716795789202</v>
      </c>
      <c r="AF283" s="28">
        <f>(Table1[[#This Row],[P (+ shock)]]+Table1[[#This Row],[P (-shock)]]-2*Table1[[#This Row],[Ask Price]])/(2*Table1[[#This Row],[Ask Price]]*($AE$2^2))</f>
        <v>4.4250201919999199</v>
      </c>
    </row>
    <row r="284" spans="1:32" x14ac:dyDescent="0.25">
      <c r="A284" s="21" t="s">
        <v>618</v>
      </c>
      <c r="B284" s="3" t="s">
        <v>619</v>
      </c>
      <c r="C284" s="3" t="s">
        <v>19</v>
      </c>
      <c r="D284" s="4">
        <v>40847</v>
      </c>
      <c r="E284" s="4">
        <v>46326</v>
      </c>
      <c r="F284" s="3">
        <v>10000</v>
      </c>
      <c r="G284" s="3" t="s">
        <v>20</v>
      </c>
      <c r="H284" s="3">
        <v>11150</v>
      </c>
      <c r="I284" s="3" t="s">
        <v>20</v>
      </c>
      <c r="J284" s="3">
        <v>111.5</v>
      </c>
      <c r="K284" s="3">
        <v>10</v>
      </c>
      <c r="L284" s="5">
        <v>0.1075</v>
      </c>
      <c r="M284" s="3" t="s">
        <v>21</v>
      </c>
      <c r="N284" s="3">
        <v>409</v>
      </c>
      <c r="O284" s="6">
        <f>Table1[[#This Row],[Current coupon %]]*Table1[[#This Row],[Face value]]/Table1[[#This Row],[Ask Price]]</f>
        <v>9.641255605381166E-2</v>
      </c>
      <c r="P284" s="3"/>
      <c r="Q284" s="3" t="s">
        <v>22</v>
      </c>
      <c r="R284">
        <f t="shared" si="4"/>
        <v>15</v>
      </c>
      <c r="S284" s="22" cm="1">
        <f t="array" ref="S284">_xlfn.IFS(Table1[[#This Row],[Coupon frequency]]="Semi-annual",2,Table1[[#This Row],[Coupon frequency]]="Quarterly",4,Table1[[#This Row],[Coupon frequency]]="Annual",1,Table1[[#This Row],[Coupon frequency]]="Every 4 months",3,Table1[[#This Row],[Coupon frequency]]="Monthly",12)</f>
        <v>1</v>
      </c>
      <c r="T284">
        <f>Table1[[#This Row],[Term to Maturity (Years)]]*Table1[[#This Row],[Coupon Frequency2]]</f>
        <v>15</v>
      </c>
      <c r="U284">
        <f>Table1[[#This Row],[Face value]]*Table1[[#This Row],[Current coupon %]]/Table1[[#This Row],[Coupon Frequency2]]</f>
        <v>1075</v>
      </c>
      <c r="V284" s="23">
        <f>RATE(Table1[[#This Row],[Total No. of Coupons]],Table1[[#This Row],[Coupon Amount]],-Table1[[#This Row],[Ask Price]],Table1[[#This Row],[Face value]])</f>
        <v>9.2981203389260608E-2</v>
      </c>
      <c r="W284" s="24">
        <f>Table1[[#This Row],[IRR]]*Table1[[#This Row],[Coupon Frequency2]]</f>
        <v>9.2981203389260608E-2</v>
      </c>
      <c r="X284" s="25" cm="1">
        <f t="array" ref="X28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4" s="26">
        <f>DURATION(Table1[[#This Row],[Issue date]],Table1[[#This Row],[Maturity date]],Table1[[#This Row],[Current coupon %]],Table1[[#This Row],[Yield (Annualised)]],Table1[[#This Row],[Coupon Frequency2]])</f>
        <v>8.4231779357308891</v>
      </c>
      <c r="Z284" s="26">
        <f>Table1[[#This Row],[Macaulay Duration in Years]]/(1+Table1[[#This Row],[IRR]])</f>
        <v>7.7066082285872675</v>
      </c>
      <c r="AA284" s="27">
        <f>VLOOKUP(Table1[[#This Row],[Yield Cluster]],'[1]Cluster Details'!$B$3:$C$16,2,0)</f>
        <v>7.8548801574189142E-2</v>
      </c>
      <c r="AB284" s="28">
        <f>PRICE(Table1[[#This Row],[Issue date]],Table1[[#This Row],[Maturity date]],Table1[[#This Row],[Current coupon %]],Table1[[#This Row],[Average Cluster Yield]],100,Table1[[#This Row],[Coupon Frequency2]])*Table1[[#This Row],[Face value]]/100</f>
        <v>12500.181838173588</v>
      </c>
      <c r="AC284" s="27" t="str">
        <f>IF(Table1[[#This Row],[Ask Price]]&gt;Table1[[#This Row],[Calculated Bond Price]],"Rich","Cheap")</f>
        <v>Cheap</v>
      </c>
      <c r="AD284" s="28">
        <f>PRICE(Table1[[#This Row],[Issue date]],Table1[[#This Row],[Maturity date]],Table1[[#This Row],[Current coupon %]],Table1[[#This Row],[Yield (Annualised)]]+$AE$2,100,Table1[[#This Row],[Coupon Frequency2]])*Table1[[#This Row],[Face value]]/100</f>
        <v>10337.932574824525</v>
      </c>
      <c r="AE284" s="28">
        <f>PRICE(Table1[[#This Row],[Issue date]],Table1[[#This Row],[Maturity date]],Table1[[#This Row],[Current coupon %]],Table1[[#This Row],[Yield (Annualised)]]-$AE$2,100,Table1[[#This Row],[Coupon Frequency2]])*Table1[[#This Row],[Face value]]/100</f>
        <v>12061.012462374369</v>
      </c>
      <c r="AF284" s="28">
        <f>(Table1[[#This Row],[P (+ shock)]]+Table1[[#This Row],[P (-shock)]]-2*Table1[[#This Row],[Ask Price]])/(2*Table1[[#This Row],[Ask Price]]*($AE$2^2))</f>
        <v>44.369971838068729</v>
      </c>
    </row>
    <row r="285" spans="1:32" x14ac:dyDescent="0.25">
      <c r="A285" s="21" t="s">
        <v>620</v>
      </c>
      <c r="B285" s="3" t="s">
        <v>621</v>
      </c>
      <c r="C285" s="3" t="s">
        <v>19</v>
      </c>
      <c r="D285" s="4">
        <v>45547</v>
      </c>
      <c r="E285" s="4">
        <v>47373</v>
      </c>
      <c r="F285" s="3">
        <v>1000</v>
      </c>
      <c r="G285" s="3" t="s">
        <v>20</v>
      </c>
      <c r="H285" s="3">
        <v>1027</v>
      </c>
      <c r="I285" s="3" t="s">
        <v>20</v>
      </c>
      <c r="J285" s="3">
        <v>102.69999999999899</v>
      </c>
      <c r="K285" s="3">
        <v>100</v>
      </c>
      <c r="L285" s="5">
        <v>9.9000000000000005E-2</v>
      </c>
      <c r="M285" s="3" t="s">
        <v>21</v>
      </c>
      <c r="N285" s="3">
        <v>1456</v>
      </c>
      <c r="O285" s="6">
        <f>Table1[[#This Row],[Current coupon %]]*Table1[[#This Row],[Face value]]/Table1[[#This Row],[Ask Price]]</f>
        <v>9.6397273612463488E-2</v>
      </c>
      <c r="P285" s="3"/>
      <c r="Q285" s="3" t="s">
        <v>22</v>
      </c>
      <c r="R285">
        <f t="shared" si="4"/>
        <v>5</v>
      </c>
      <c r="S285" s="22" cm="1">
        <f t="array" ref="S285">_xlfn.IFS(Table1[[#This Row],[Coupon frequency]]="Semi-annual",2,Table1[[#This Row],[Coupon frequency]]="Quarterly",4,Table1[[#This Row],[Coupon frequency]]="Annual",1,Table1[[#This Row],[Coupon frequency]]="Every 4 months",3,Table1[[#This Row],[Coupon frequency]]="Monthly",12)</f>
        <v>1</v>
      </c>
      <c r="T285">
        <f>Table1[[#This Row],[Term to Maturity (Years)]]*Table1[[#This Row],[Coupon Frequency2]]</f>
        <v>5</v>
      </c>
      <c r="U285">
        <f>Table1[[#This Row],[Face value]]*Table1[[#This Row],[Current coupon %]]/Table1[[#This Row],[Coupon Frequency2]]</f>
        <v>99</v>
      </c>
      <c r="V285" s="23">
        <f>RATE(Table1[[#This Row],[Total No. of Coupons]],Table1[[#This Row],[Coupon Amount]],-Table1[[#This Row],[Ask Price]],Table1[[#This Row],[Face value]])</f>
        <v>9.202204666107984E-2</v>
      </c>
      <c r="W285" s="24">
        <f>Table1[[#This Row],[IRR]]*Table1[[#This Row],[Coupon Frequency2]]</f>
        <v>9.202204666107984E-2</v>
      </c>
      <c r="X285" s="25" cm="1">
        <f t="array" ref="X28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5" s="26">
        <f>DURATION(Table1[[#This Row],[Issue date]],Table1[[#This Row],[Maturity date]],Table1[[#This Row],[Current coupon %]],Table1[[#This Row],[Yield (Annualised)]],Table1[[#This Row],[Coupon Frequency2]])</f>
        <v>4.1885639941552668</v>
      </c>
      <c r="Z285" s="26">
        <f>Table1[[#This Row],[Macaulay Duration in Years]]/(1+Table1[[#This Row],[IRR]])</f>
        <v>3.8356038753631774</v>
      </c>
      <c r="AA285" s="27">
        <f>VLOOKUP(Table1[[#This Row],[Yield Cluster]],'[1]Cluster Details'!$B$3:$C$16,2,0)</f>
        <v>7.8548801574189142E-2</v>
      </c>
      <c r="AB285" s="28">
        <f>PRICE(Table1[[#This Row],[Issue date]],Table1[[#This Row],[Maturity date]],Table1[[#This Row],[Current coupon %]],Table1[[#This Row],[Average Cluster Yield]],100,Table1[[#This Row],[Coupon Frequency2]])*Table1[[#This Row],[Face value]]/100</f>
        <v>1081.9689787445161</v>
      </c>
      <c r="AC285" s="27" t="str">
        <f>IF(Table1[[#This Row],[Ask Price]]&gt;Table1[[#This Row],[Calculated Bond Price]],"Rich","Cheap")</f>
        <v>Cheap</v>
      </c>
      <c r="AD285" s="28">
        <f>PRICE(Table1[[#This Row],[Issue date]],Table1[[#This Row],[Maturity date]],Table1[[#This Row],[Current coupon %]],Table1[[#This Row],[Yield (Annualised)]]+$AE$2,100,Table1[[#This Row],[Coupon Frequency2]])*Table1[[#This Row],[Face value]]/100</f>
        <v>988.60299814256655</v>
      </c>
      <c r="AE285" s="28">
        <f>PRICE(Table1[[#This Row],[Issue date]],Table1[[#This Row],[Maturity date]],Table1[[#This Row],[Current coupon %]],Table1[[#This Row],[Yield (Annualised)]]-$AE$2,100,Table1[[#This Row],[Coupon Frequency2]])*Table1[[#This Row],[Face value]]/100</f>
        <v>1067.4283094766622</v>
      </c>
      <c r="AF285" s="28">
        <f>(Table1[[#This Row],[P (+ shock)]]+Table1[[#This Row],[P (-shock)]]-2*Table1[[#This Row],[Ask Price]])/(2*Table1[[#This Row],[Ask Price]]*($AE$2^2))</f>
        <v>9.8895210283775814</v>
      </c>
    </row>
    <row r="286" spans="1:32" x14ac:dyDescent="0.25">
      <c r="A286" s="21" t="s">
        <v>622</v>
      </c>
      <c r="B286" s="3" t="s">
        <v>623</v>
      </c>
      <c r="C286" s="3" t="s">
        <v>19</v>
      </c>
      <c r="D286" s="4">
        <v>45551</v>
      </c>
      <c r="E286" s="4">
        <v>46281</v>
      </c>
      <c r="F286" s="3">
        <v>1000</v>
      </c>
      <c r="G286" s="3" t="s">
        <v>20</v>
      </c>
      <c r="H286" s="3">
        <v>975.2</v>
      </c>
      <c r="I286" s="3" t="s">
        <v>20</v>
      </c>
      <c r="J286" s="3">
        <v>97.52</v>
      </c>
      <c r="K286" s="3">
        <v>10</v>
      </c>
      <c r="L286" s="5">
        <v>9.4E-2</v>
      </c>
      <c r="M286" s="3" t="s">
        <v>21</v>
      </c>
      <c r="N286" s="3">
        <v>364</v>
      </c>
      <c r="O286" s="6">
        <f>Table1[[#This Row],[Current coupon %]]*Table1[[#This Row],[Face value]]/Table1[[#This Row],[Ask Price]]</f>
        <v>9.6390484003281374E-2</v>
      </c>
      <c r="P286" s="3"/>
      <c r="Q286" s="3" t="s">
        <v>22</v>
      </c>
      <c r="R286">
        <f t="shared" si="4"/>
        <v>2</v>
      </c>
      <c r="S286" s="22" cm="1">
        <f t="array" ref="S286">_xlfn.IFS(Table1[[#This Row],[Coupon frequency]]="Semi-annual",2,Table1[[#This Row],[Coupon frequency]]="Quarterly",4,Table1[[#This Row],[Coupon frequency]]="Annual",1,Table1[[#This Row],[Coupon frequency]]="Every 4 months",3,Table1[[#This Row],[Coupon frequency]]="Monthly",12)</f>
        <v>1</v>
      </c>
      <c r="T286">
        <f>Table1[[#This Row],[Term to Maturity (Years)]]*Table1[[#This Row],[Coupon Frequency2]]</f>
        <v>2</v>
      </c>
      <c r="U286">
        <f>Table1[[#This Row],[Face value]]*Table1[[#This Row],[Current coupon %]]/Table1[[#This Row],[Coupon Frequency2]]</f>
        <v>94</v>
      </c>
      <c r="V286" s="23">
        <f>RATE(Table1[[#This Row],[Total No. of Coupons]],Table1[[#This Row],[Coupon Amount]],-Table1[[#This Row],[Ask Price]],Table1[[#This Row],[Face value]])</f>
        <v>0.1084517893715921</v>
      </c>
      <c r="W286" s="24">
        <f>Table1[[#This Row],[IRR]]*Table1[[#This Row],[Coupon Frequency2]]</f>
        <v>0.1084517893715921</v>
      </c>
      <c r="X286" s="25" cm="1">
        <f t="array" ref="X28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86" s="26">
        <f>DURATION(Table1[[#This Row],[Issue date]],Table1[[#This Row],[Maturity date]],Table1[[#This Row],[Current coupon %]],Table1[[#This Row],[Yield (Annualised)]],Table1[[#This Row],[Coupon Frequency2]])</f>
        <v>1.9130404362846241</v>
      </c>
      <c r="Z286" s="26">
        <f>Table1[[#This Row],[Macaulay Duration in Years]]/(1+Table1[[#This Row],[IRR]])</f>
        <v>1.7258670648808032</v>
      </c>
      <c r="AA286" s="27">
        <f>VLOOKUP(Table1[[#This Row],[Yield Cluster]],'[1]Cluster Details'!$B$3:$C$16,2,0)</f>
        <v>0.11069942689191503</v>
      </c>
      <c r="AB286" s="28">
        <f>PRICE(Table1[[#This Row],[Issue date]],Table1[[#This Row],[Maturity date]],Table1[[#This Row],[Current coupon %]],Table1[[#This Row],[Average Cluster Yield]],100,Table1[[#This Row],[Coupon Frequency2]])*Table1[[#This Row],[Face value]]/100</f>
        <v>971.42838012548043</v>
      </c>
      <c r="AC286" s="27" t="str">
        <f>IF(Table1[[#This Row],[Ask Price]]&gt;Table1[[#This Row],[Calculated Bond Price]],"Rich","Cheap")</f>
        <v>Rich</v>
      </c>
      <c r="AD286" s="28">
        <f>PRICE(Table1[[#This Row],[Issue date]],Table1[[#This Row],[Maturity date]],Table1[[#This Row],[Current coupon %]],Table1[[#This Row],[Yield (Annualised)]]+$AE$2,100,Table1[[#This Row],[Coupon Frequency2]])*Table1[[#This Row],[Face value]]/100</f>
        <v>958.59100466467964</v>
      </c>
      <c r="AE286" s="28">
        <f>PRICE(Table1[[#This Row],[Issue date]],Table1[[#This Row],[Maturity date]],Table1[[#This Row],[Current coupon %]],Table1[[#This Row],[Yield (Annualised)]]-$AE$2,100,Table1[[#This Row],[Coupon Frequency2]])*Table1[[#This Row],[Face value]]/100</f>
        <v>992.25767134145451</v>
      </c>
      <c r="AF286" s="28">
        <f>(Table1[[#This Row],[P (+ shock)]]+Table1[[#This Row],[P (-shock)]]-2*Table1[[#This Row],[Ask Price]])/(2*Table1[[#This Row],[Ask Price]]*($AE$2^2))</f>
        <v>2.3004307123362624</v>
      </c>
    </row>
    <row r="287" spans="1:32" x14ac:dyDescent="0.25">
      <c r="A287" s="21" t="s">
        <v>624</v>
      </c>
      <c r="B287" s="3" t="s">
        <v>625</v>
      </c>
      <c r="C287" s="3" t="s">
        <v>19</v>
      </c>
      <c r="D287" s="4">
        <v>45019</v>
      </c>
      <c r="E287" s="4">
        <v>48672</v>
      </c>
      <c r="F287" s="3">
        <v>100000</v>
      </c>
      <c r="G287" s="3" t="s">
        <v>20</v>
      </c>
      <c r="H287" s="3">
        <v>109600</v>
      </c>
      <c r="I287" s="3" t="s">
        <v>20</v>
      </c>
      <c r="J287" s="3">
        <v>109.6</v>
      </c>
      <c r="K287" s="3">
        <v>2</v>
      </c>
      <c r="L287" s="5">
        <v>0.10550000000000001</v>
      </c>
      <c r="M287" s="3" t="s">
        <v>44</v>
      </c>
      <c r="N287" s="3">
        <v>2755</v>
      </c>
      <c r="O287" s="6">
        <f>Table1[[#This Row],[Current coupon %]]*Table1[[#This Row],[Face value]]/Table1[[#This Row],[Ask Price]]</f>
        <v>9.6259124087591255E-2</v>
      </c>
      <c r="P287" s="3"/>
      <c r="Q287" s="3" t="s">
        <v>22</v>
      </c>
      <c r="R287">
        <f t="shared" si="4"/>
        <v>10</v>
      </c>
      <c r="S287" s="22" cm="1">
        <f t="array" ref="S287">_xlfn.IFS(Table1[[#This Row],[Coupon frequency]]="Semi-annual",2,Table1[[#This Row],[Coupon frequency]]="Quarterly",4,Table1[[#This Row],[Coupon frequency]]="Annual",1,Table1[[#This Row],[Coupon frequency]]="Every 4 months",3,Table1[[#This Row],[Coupon frequency]]="Monthly",12)</f>
        <v>4</v>
      </c>
      <c r="T287">
        <f>Table1[[#This Row],[Term to Maturity (Years)]]*Table1[[#This Row],[Coupon Frequency2]]</f>
        <v>40</v>
      </c>
      <c r="U287">
        <f>Table1[[#This Row],[Face value]]*Table1[[#This Row],[Current coupon %]]/Table1[[#This Row],[Coupon Frequency2]]</f>
        <v>2637.5000000000005</v>
      </c>
      <c r="V287" s="23">
        <f>RATE(Table1[[#This Row],[Total No. of Coupons]],Table1[[#This Row],[Coupon Amount]],-Table1[[#This Row],[Ask Price]],Table1[[#This Row],[Face value]])</f>
        <v>2.269751879394355E-2</v>
      </c>
      <c r="W287" s="24">
        <f>Table1[[#This Row],[IRR]]*Table1[[#This Row],[Coupon Frequency2]]</f>
        <v>9.0790075175774199E-2</v>
      </c>
      <c r="X287" s="25" cm="1">
        <f t="array" ref="X28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7" s="26">
        <f>DURATION(Table1[[#This Row],[Issue date]],Table1[[#This Row],[Maturity date]],Table1[[#This Row],[Current coupon %]],Table1[[#This Row],[Yield (Annualised)]],Table1[[#This Row],[Coupon Frequency2]])</f>
        <v>6.4740019499826467</v>
      </c>
      <c r="Z287" s="26">
        <f>Table1[[#This Row],[Macaulay Duration in Years]]/(1+Table1[[#This Row],[IRR]])</f>
        <v>6.3303194062867867</v>
      </c>
      <c r="AA287" s="27">
        <f>VLOOKUP(Table1[[#This Row],[Yield Cluster]],'[1]Cluster Details'!$B$3:$C$16,2,0)</f>
        <v>7.8548801574189142E-2</v>
      </c>
      <c r="AB287" s="28">
        <f>PRICE(Table1[[#This Row],[Issue date]],Table1[[#This Row],[Maturity date]],Table1[[#This Row],[Current coupon %]],Table1[[#This Row],[Average Cluster Yield]],100,Table1[[#This Row],[Coupon Frequency2]])*Table1[[#This Row],[Face value]]/100</f>
        <v>118549.39463867835</v>
      </c>
      <c r="AC287" s="27" t="str">
        <f>IF(Table1[[#This Row],[Ask Price]]&gt;Table1[[#This Row],[Calculated Bond Price]],"Rich","Cheap")</f>
        <v>Cheap</v>
      </c>
      <c r="AD287" s="28">
        <f>PRICE(Table1[[#This Row],[Issue date]],Table1[[#This Row],[Maturity date]],Table1[[#This Row],[Current coupon %]],Table1[[#This Row],[Yield (Annualised)]]+$AE$2,100,Table1[[#This Row],[Coupon Frequency2]])*Table1[[#This Row],[Face value]]/100</f>
        <v>102945.99657550095</v>
      </c>
      <c r="AE287" s="28">
        <f>PRICE(Table1[[#This Row],[Issue date]],Table1[[#This Row],[Maturity date]],Table1[[#This Row],[Current coupon %]],Table1[[#This Row],[Yield (Annualised)]]-$AE$2,100,Table1[[#This Row],[Coupon Frequency2]])*Table1[[#This Row],[Face value]]/100</f>
        <v>116840.40555486975</v>
      </c>
      <c r="AF287" s="28">
        <f>(Table1[[#This Row],[P (+ shock)]]+Table1[[#This Row],[P (-shock)]]-2*Table1[[#This Row],[Ask Price]])/(2*Table1[[#This Row],[Ask Price]]*($AE$2^2))</f>
        <v>26.751922005962484</v>
      </c>
    </row>
    <row r="288" spans="1:32" x14ac:dyDescent="0.25">
      <c r="A288" s="21" t="s">
        <v>626</v>
      </c>
      <c r="B288" s="3" t="s">
        <v>627</v>
      </c>
      <c r="C288" s="3" t="s">
        <v>19</v>
      </c>
      <c r="D288" s="4">
        <v>44726</v>
      </c>
      <c r="E288" s="4">
        <v>48365</v>
      </c>
      <c r="F288" s="3">
        <v>1000000</v>
      </c>
      <c r="G288" s="3" t="s">
        <v>20</v>
      </c>
      <c r="H288" s="3">
        <v>1000000</v>
      </c>
      <c r="I288" s="3" t="s">
        <v>20</v>
      </c>
      <c r="J288" s="3">
        <v>100</v>
      </c>
      <c r="K288" s="3">
        <v>1</v>
      </c>
      <c r="L288" s="5">
        <v>9.6199999999999994E-2</v>
      </c>
      <c r="M288" s="3" t="s">
        <v>44</v>
      </c>
      <c r="N288" s="3">
        <v>2448</v>
      </c>
      <c r="O288" s="6">
        <f>Table1[[#This Row],[Current coupon %]]*Table1[[#This Row],[Face value]]/Table1[[#This Row],[Ask Price]]</f>
        <v>9.6199999999999994E-2</v>
      </c>
      <c r="P288" s="3"/>
      <c r="Q288" s="3" t="s">
        <v>22</v>
      </c>
      <c r="R288">
        <f t="shared" si="4"/>
        <v>10</v>
      </c>
      <c r="S288" s="22" cm="1">
        <f t="array" ref="S288">_xlfn.IFS(Table1[[#This Row],[Coupon frequency]]="Semi-annual",2,Table1[[#This Row],[Coupon frequency]]="Quarterly",4,Table1[[#This Row],[Coupon frequency]]="Annual",1,Table1[[#This Row],[Coupon frequency]]="Every 4 months",3,Table1[[#This Row],[Coupon frequency]]="Monthly",12)</f>
        <v>4</v>
      </c>
      <c r="T288">
        <f>Table1[[#This Row],[Term to Maturity (Years)]]*Table1[[#This Row],[Coupon Frequency2]]</f>
        <v>40</v>
      </c>
      <c r="U288">
        <f>Table1[[#This Row],[Face value]]*Table1[[#This Row],[Current coupon %]]/Table1[[#This Row],[Coupon Frequency2]]</f>
        <v>24050</v>
      </c>
      <c r="V288" s="23">
        <f>RATE(Table1[[#This Row],[Total No. of Coupons]],Table1[[#This Row],[Coupon Amount]],-Table1[[#This Row],[Ask Price]],Table1[[#This Row],[Face value]])</f>
        <v>2.4049999999999998E-2</v>
      </c>
      <c r="W288" s="24">
        <f>Table1[[#This Row],[IRR]]*Table1[[#This Row],[Coupon Frequency2]]</f>
        <v>9.6199999999999994E-2</v>
      </c>
      <c r="X288" s="25" cm="1">
        <f t="array" ref="X28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8" s="26">
        <f>DURATION(Table1[[#This Row],[Issue date]],Table1[[#This Row],[Maturity date]],Table1[[#This Row],[Current coupon %]],Table1[[#This Row],[Yield (Annualised)]],Table1[[#This Row],[Coupon Frequency2]])</f>
        <v>6.4917868530884846</v>
      </c>
      <c r="Z288" s="26">
        <f>Table1[[#This Row],[Macaulay Duration in Years]]/(1+Table1[[#This Row],[IRR]])</f>
        <v>6.3393260613138862</v>
      </c>
      <c r="AA288" s="27">
        <f>VLOOKUP(Table1[[#This Row],[Yield Cluster]],'[1]Cluster Details'!$B$3:$C$16,2,0)</f>
        <v>7.8548801574189142E-2</v>
      </c>
      <c r="AB288" s="28">
        <f>PRICE(Table1[[#This Row],[Issue date]],Table1[[#This Row],[Maturity date]],Table1[[#This Row],[Current coupon %]],Table1[[#This Row],[Average Cluster Yield]],100,Table1[[#This Row],[Coupon Frequency2]])*Table1[[#This Row],[Face value]]/100</f>
        <v>1121142.4934295481</v>
      </c>
      <c r="AC288" s="27" t="str">
        <f>IF(Table1[[#This Row],[Ask Price]]&gt;Table1[[#This Row],[Calculated Bond Price]],"Rich","Cheap")</f>
        <v>Cheap</v>
      </c>
      <c r="AD288" s="28">
        <f>PRICE(Table1[[#This Row],[Issue date]],Table1[[#This Row],[Maturity date]],Table1[[#This Row],[Current coupon %]],Table1[[#This Row],[Yield (Annualised)]]+$AE$2,100,Table1[[#This Row],[Coupon Frequency2]])*Table1[[#This Row],[Face value]]/100</f>
        <v>938943.56181834696</v>
      </c>
      <c r="AE288" s="28">
        <f>PRICE(Table1[[#This Row],[Issue date]],Table1[[#This Row],[Maturity date]],Table1[[#This Row],[Current coupon %]],Table1[[#This Row],[Yield (Annualised)]]-$AE$2,100,Table1[[#This Row],[Coupon Frequency2]])*Table1[[#This Row],[Face value]]/100</f>
        <v>1066368.1102403223</v>
      </c>
      <c r="AF288" s="28">
        <f>(Table1[[#This Row],[P (+ shock)]]+Table1[[#This Row],[P (-shock)]]-2*Table1[[#This Row],[Ask Price]])/(2*Table1[[#This Row],[Ask Price]]*($AE$2^2))</f>
        <v>26.558360293346922</v>
      </c>
    </row>
    <row r="289" spans="1:32" x14ac:dyDescent="0.25">
      <c r="A289" s="21" t="s">
        <v>628</v>
      </c>
      <c r="B289" s="3" t="s">
        <v>629</v>
      </c>
      <c r="C289" s="3" t="s">
        <v>19</v>
      </c>
      <c r="D289" s="4">
        <v>44916</v>
      </c>
      <c r="E289" s="4">
        <v>48180</v>
      </c>
      <c r="F289" s="3">
        <v>1000000</v>
      </c>
      <c r="G289" s="3" t="s">
        <v>20</v>
      </c>
      <c r="H289" s="3">
        <v>1000000</v>
      </c>
      <c r="I289" s="3" t="s">
        <v>20</v>
      </c>
      <c r="J289" s="3">
        <v>100</v>
      </c>
      <c r="K289" s="3">
        <v>2</v>
      </c>
      <c r="L289" s="5">
        <v>9.6199999999999994E-2</v>
      </c>
      <c r="M289" s="3" t="s">
        <v>44</v>
      </c>
      <c r="N289" s="3">
        <v>2263</v>
      </c>
      <c r="O289" s="6">
        <f>Table1[[#This Row],[Current coupon %]]*Table1[[#This Row],[Face value]]/Table1[[#This Row],[Ask Price]]</f>
        <v>9.6199999999999994E-2</v>
      </c>
      <c r="P289" s="3"/>
      <c r="Q289" s="3" t="s">
        <v>22</v>
      </c>
      <c r="R289">
        <f t="shared" si="4"/>
        <v>9</v>
      </c>
      <c r="S289" s="22" cm="1">
        <f t="array" ref="S289">_xlfn.IFS(Table1[[#This Row],[Coupon frequency]]="Semi-annual",2,Table1[[#This Row],[Coupon frequency]]="Quarterly",4,Table1[[#This Row],[Coupon frequency]]="Annual",1,Table1[[#This Row],[Coupon frequency]]="Every 4 months",3,Table1[[#This Row],[Coupon frequency]]="Monthly",12)</f>
        <v>4</v>
      </c>
      <c r="T289">
        <f>Table1[[#This Row],[Term to Maturity (Years)]]*Table1[[#This Row],[Coupon Frequency2]]</f>
        <v>36</v>
      </c>
      <c r="U289">
        <f>Table1[[#This Row],[Face value]]*Table1[[#This Row],[Current coupon %]]/Table1[[#This Row],[Coupon Frequency2]]</f>
        <v>24050</v>
      </c>
      <c r="V289" s="23">
        <f>RATE(Table1[[#This Row],[Total No. of Coupons]],Table1[[#This Row],[Coupon Amount]],-Table1[[#This Row],[Ask Price]],Table1[[#This Row],[Face value]])</f>
        <v>2.4050000000000873E-2</v>
      </c>
      <c r="W289" s="24">
        <f>Table1[[#This Row],[IRR]]*Table1[[#This Row],[Coupon Frequency2]]</f>
        <v>9.6200000000003491E-2</v>
      </c>
      <c r="X289" s="25" cm="1">
        <f t="array" ref="X28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89" s="26">
        <f>DURATION(Table1[[#This Row],[Issue date]],Table1[[#This Row],[Maturity date]],Table1[[#This Row],[Current coupon %]],Table1[[#This Row],[Yield (Annualised)]],Table1[[#This Row],[Coupon Frequency2]])</f>
        <v>6.0564791031959544</v>
      </c>
      <c r="Z289" s="26">
        <f>Table1[[#This Row],[Macaulay Duration in Years]]/(1+Table1[[#This Row],[IRR]])</f>
        <v>5.9142415928870173</v>
      </c>
      <c r="AA289" s="27">
        <f>VLOOKUP(Table1[[#This Row],[Yield Cluster]],'[1]Cluster Details'!$B$3:$C$16,2,0)</f>
        <v>7.8548801574189142E-2</v>
      </c>
      <c r="AB289" s="28">
        <f>PRICE(Table1[[#This Row],[Issue date]],Table1[[#This Row],[Maturity date]],Table1[[#This Row],[Current coupon %]],Table1[[#This Row],[Average Cluster Yield]],100,Table1[[#This Row],[Coupon Frequency2]])*Table1[[#This Row],[Face value]]/100</f>
        <v>1112534.9501814612</v>
      </c>
      <c r="AC289" s="27" t="str">
        <f>IF(Table1[[#This Row],[Ask Price]]&gt;Table1[[#This Row],[Calculated Bond Price]],"Rich","Cheap")</f>
        <v>Cheap</v>
      </c>
      <c r="AD289" s="28">
        <f>PRICE(Table1[[#This Row],[Issue date]],Table1[[#This Row],[Maturity date]],Table1[[#This Row],[Current coupon %]],Table1[[#This Row],[Yield (Annualised)]]+$AE$2,100,Table1[[#This Row],[Coupon Frequency2]])*Table1[[#This Row],[Face value]]/100</f>
        <v>942684.46917308064</v>
      </c>
      <c r="AE289" s="28">
        <f>PRICE(Table1[[#This Row],[Issue date]],Table1[[#This Row],[Maturity date]],Table1[[#This Row],[Current coupon %]],Table1[[#This Row],[Yield (Annualised)]]-$AE$2,100,Table1[[#This Row],[Coupon Frequency2]])*Table1[[#This Row],[Face value]]/100</f>
        <v>1061821.3098013171</v>
      </c>
      <c r="AF289" s="28">
        <f>(Table1[[#This Row],[P (+ shock)]]+Table1[[#This Row],[P (-shock)]]-2*Table1[[#This Row],[Ask Price]])/(2*Table1[[#This Row],[Ask Price]]*($AE$2^2))</f>
        <v>22.52889487198787</v>
      </c>
    </row>
    <row r="290" spans="1:32" x14ac:dyDescent="0.25">
      <c r="A290" s="21" t="s">
        <v>630</v>
      </c>
      <c r="B290" s="3" t="s">
        <v>631</v>
      </c>
      <c r="C290" s="3" t="s">
        <v>19</v>
      </c>
      <c r="D290" s="4">
        <v>44916</v>
      </c>
      <c r="E290" s="4">
        <v>48547</v>
      </c>
      <c r="F290" s="3">
        <v>1000000</v>
      </c>
      <c r="G290" s="3" t="s">
        <v>20</v>
      </c>
      <c r="H290" s="3">
        <v>1000000</v>
      </c>
      <c r="I290" s="3" t="s">
        <v>20</v>
      </c>
      <c r="J290" s="3">
        <v>100</v>
      </c>
      <c r="K290" s="3">
        <v>1</v>
      </c>
      <c r="L290" s="5">
        <v>9.6199999999999994E-2</v>
      </c>
      <c r="M290" s="3" t="s">
        <v>44</v>
      </c>
      <c r="N290" s="3">
        <v>2630</v>
      </c>
      <c r="O290" s="6">
        <f>Table1[[#This Row],[Current coupon %]]*Table1[[#This Row],[Face value]]/Table1[[#This Row],[Ask Price]]</f>
        <v>9.6199999999999994E-2</v>
      </c>
      <c r="P290" s="3"/>
      <c r="Q290" s="3" t="s">
        <v>22</v>
      </c>
      <c r="R290">
        <f t="shared" si="4"/>
        <v>10</v>
      </c>
      <c r="S290" s="22" cm="1">
        <f t="array" ref="S290">_xlfn.IFS(Table1[[#This Row],[Coupon frequency]]="Semi-annual",2,Table1[[#This Row],[Coupon frequency]]="Quarterly",4,Table1[[#This Row],[Coupon frequency]]="Annual",1,Table1[[#This Row],[Coupon frequency]]="Every 4 months",3,Table1[[#This Row],[Coupon frequency]]="Monthly",12)</f>
        <v>4</v>
      </c>
      <c r="T290">
        <f>Table1[[#This Row],[Term to Maturity (Years)]]*Table1[[#This Row],[Coupon Frequency2]]</f>
        <v>40</v>
      </c>
      <c r="U290">
        <f>Table1[[#This Row],[Face value]]*Table1[[#This Row],[Current coupon %]]/Table1[[#This Row],[Coupon Frequency2]]</f>
        <v>24050</v>
      </c>
      <c r="V290" s="23">
        <f>RATE(Table1[[#This Row],[Total No. of Coupons]],Table1[[#This Row],[Coupon Amount]],-Table1[[#This Row],[Ask Price]],Table1[[#This Row],[Face value]])</f>
        <v>2.4049999999999998E-2</v>
      </c>
      <c r="W290" s="24">
        <f>Table1[[#This Row],[IRR]]*Table1[[#This Row],[Coupon Frequency2]]</f>
        <v>9.6199999999999994E-2</v>
      </c>
      <c r="X290" s="25" cm="1">
        <f t="array" ref="X29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90" s="26">
        <f>DURATION(Table1[[#This Row],[Issue date]],Table1[[#This Row],[Maturity date]],Table1[[#This Row],[Current coupon %]],Table1[[#This Row],[Yield (Annualised)]],Table1[[#This Row],[Coupon Frequency2]])</f>
        <v>6.4695646308662615</v>
      </c>
      <c r="Z290" s="26">
        <f>Table1[[#This Row],[Macaulay Duration in Years]]/(1+Table1[[#This Row],[IRR]])</f>
        <v>6.317625732011388</v>
      </c>
      <c r="AA290" s="27">
        <f>VLOOKUP(Table1[[#This Row],[Yield Cluster]],'[1]Cluster Details'!$B$3:$C$16,2,0)</f>
        <v>7.8548801574189142E-2</v>
      </c>
      <c r="AB290" s="28">
        <f>PRICE(Table1[[#This Row],[Issue date]],Table1[[#This Row],[Maturity date]],Table1[[#This Row],[Current coupon %]],Table1[[#This Row],[Average Cluster Yield]],100,Table1[[#This Row],[Coupon Frequency2]])*Table1[[#This Row],[Face value]]/100</f>
        <v>1120950.8838625369</v>
      </c>
      <c r="AC290" s="27" t="str">
        <f>IF(Table1[[#This Row],[Ask Price]]&gt;Table1[[#This Row],[Calculated Bond Price]],"Rich","Cheap")</f>
        <v>Cheap</v>
      </c>
      <c r="AD290" s="28">
        <f>PRICE(Table1[[#This Row],[Issue date]],Table1[[#This Row],[Maturity date]],Table1[[#This Row],[Current coupon %]],Table1[[#This Row],[Yield (Annualised)]]+$AE$2,100,Table1[[#This Row],[Coupon Frequency2]])*Table1[[#This Row],[Face value]]/100</f>
        <v>939004.05818079947</v>
      </c>
      <c r="AE290" s="28">
        <f>PRICE(Table1[[#This Row],[Issue date]],Table1[[#This Row],[Maturity date]],Table1[[#This Row],[Current coupon %]],Table1[[#This Row],[Yield (Annualised)]]-$AE$2,100,Table1[[#This Row],[Coupon Frequency2]])*Table1[[#This Row],[Face value]]/100</f>
        <v>1066260.3342600306</v>
      </c>
      <c r="AF290" s="28">
        <f>(Table1[[#This Row],[P (+ shock)]]+Table1[[#This Row],[P (-shock)]]-2*Table1[[#This Row],[Ask Price]])/(2*Table1[[#This Row],[Ask Price]]*($AE$2^2))</f>
        <v>26.321962204150623</v>
      </c>
    </row>
    <row r="291" spans="1:32" x14ac:dyDescent="0.25">
      <c r="A291" s="21" t="s">
        <v>632</v>
      </c>
      <c r="B291" s="3" t="s">
        <v>633</v>
      </c>
      <c r="C291" s="3" t="s">
        <v>19</v>
      </c>
      <c r="D291" s="4">
        <v>43973</v>
      </c>
      <c r="E291" s="4">
        <v>47686</v>
      </c>
      <c r="F291" s="3">
        <v>1000000</v>
      </c>
      <c r="G291" s="3" t="s">
        <v>20</v>
      </c>
      <c r="H291" s="3">
        <v>810000</v>
      </c>
      <c r="I291" s="3" t="s">
        <v>20</v>
      </c>
      <c r="J291" s="3">
        <v>81</v>
      </c>
      <c r="K291" s="3">
        <v>1</v>
      </c>
      <c r="L291" s="5">
        <v>7.7899999999999997E-2</v>
      </c>
      <c r="M291" s="3" t="s">
        <v>21</v>
      </c>
      <c r="N291" s="3">
        <v>1769</v>
      </c>
      <c r="O291" s="6">
        <f>Table1[[#This Row],[Current coupon %]]*Table1[[#This Row],[Face value]]/Table1[[#This Row],[Ask Price]]</f>
        <v>9.6172839506172836E-2</v>
      </c>
      <c r="P291" s="3" t="s">
        <v>54</v>
      </c>
      <c r="Q291" s="3" t="s">
        <v>22</v>
      </c>
      <c r="R291">
        <f t="shared" si="4"/>
        <v>10</v>
      </c>
      <c r="S291" s="22" cm="1">
        <f t="array" ref="S291">_xlfn.IFS(Table1[[#This Row],[Coupon frequency]]="Semi-annual",2,Table1[[#This Row],[Coupon frequency]]="Quarterly",4,Table1[[#This Row],[Coupon frequency]]="Annual",1,Table1[[#This Row],[Coupon frequency]]="Every 4 months",3,Table1[[#This Row],[Coupon frequency]]="Monthly",12)</f>
        <v>1</v>
      </c>
      <c r="T291">
        <f>Table1[[#This Row],[Term to Maturity (Years)]]*Table1[[#This Row],[Coupon Frequency2]]</f>
        <v>10</v>
      </c>
      <c r="U291">
        <f>Table1[[#This Row],[Face value]]*Table1[[#This Row],[Current coupon %]]/Table1[[#This Row],[Coupon Frequency2]]</f>
        <v>77900</v>
      </c>
      <c r="V291" s="23">
        <f>RATE(Table1[[#This Row],[Total No. of Coupons]],Table1[[#This Row],[Coupon Amount]],-Table1[[#This Row],[Ask Price]],Table1[[#This Row],[Face value]])</f>
        <v>0.11018766258838639</v>
      </c>
      <c r="W291" s="24">
        <f>Table1[[#This Row],[IRR]]*Table1[[#This Row],[Coupon Frequency2]]</f>
        <v>0.11018766258838639</v>
      </c>
      <c r="X291" s="25" cm="1">
        <f t="array" ref="X29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91" s="26">
        <f>DURATION(Table1[[#This Row],[Issue date]],Table1[[#This Row],[Maturity date]],Table1[[#This Row],[Current coupon %]],Table1[[#This Row],[Yield (Annualised)]],Table1[[#This Row],[Coupon Frequency2]])</f>
        <v>6.5287829456213871</v>
      </c>
      <c r="Z291" s="26">
        <f>Table1[[#This Row],[Macaulay Duration in Years]]/(1+Table1[[#This Row],[IRR]])</f>
        <v>5.8807921990410383</v>
      </c>
      <c r="AA291" s="27">
        <f>VLOOKUP(Table1[[#This Row],[Yield Cluster]],'[1]Cluster Details'!$B$3:$C$16,2,0)</f>
        <v>0.11069942689191503</v>
      </c>
      <c r="AB291" s="28">
        <f>PRICE(Table1[[#This Row],[Issue date]],Table1[[#This Row],[Maturity date]],Table1[[#This Row],[Current coupon %]],Table1[[#This Row],[Average Cluster Yield]],100,Table1[[#This Row],[Coupon Frequency2]])*Table1[[#This Row],[Face value]]/100</f>
        <v>805028.55797414039</v>
      </c>
      <c r="AC291" s="27" t="str">
        <f>IF(Table1[[#This Row],[Ask Price]]&gt;Table1[[#This Row],[Calculated Bond Price]],"Rich","Cheap")</f>
        <v>Rich</v>
      </c>
      <c r="AD291" s="28">
        <f>PRICE(Table1[[#This Row],[Issue date]],Table1[[#This Row],[Maturity date]],Table1[[#This Row],[Current coupon %]],Table1[[#This Row],[Yield (Annualised)]]+$AE$2,100,Table1[[#This Row],[Coupon Frequency2]])*Table1[[#This Row],[Face value]]/100</f>
        <v>758507.86248533393</v>
      </c>
      <c r="AE291" s="28">
        <f>PRICE(Table1[[#This Row],[Issue date]],Table1[[#This Row],[Maturity date]],Table1[[#This Row],[Current coupon %]],Table1[[#This Row],[Yield (Annualised)]]-$AE$2,100,Table1[[#This Row],[Coupon Frequency2]])*Table1[[#This Row],[Face value]]/100</f>
        <v>861288.59790216724</v>
      </c>
      <c r="AF291" s="28">
        <f>(Table1[[#This Row],[P (+ shock)]]+Table1[[#This Row],[P (-shock)]]-2*Table1[[#This Row],[Ask Price]])/(2*Table1[[#This Row],[Ask Price]]*($AE$2^2))</f>
        <v>-1.2564173611039067</v>
      </c>
    </row>
    <row r="292" spans="1:32" x14ac:dyDescent="0.25">
      <c r="A292" s="21" t="s">
        <v>634</v>
      </c>
      <c r="B292" s="3" t="s">
        <v>635</v>
      </c>
      <c r="C292" s="3" t="s">
        <v>19</v>
      </c>
      <c r="D292" s="4">
        <v>44841</v>
      </c>
      <c r="E292" s="4">
        <v>46843</v>
      </c>
      <c r="F292" s="3">
        <v>1000000</v>
      </c>
      <c r="G292" s="3" t="s">
        <v>20</v>
      </c>
      <c r="H292" s="3">
        <v>1034900</v>
      </c>
      <c r="I292" s="3" t="s">
        <v>20</v>
      </c>
      <c r="J292" s="3">
        <v>103.49</v>
      </c>
      <c r="K292" s="3">
        <v>3</v>
      </c>
      <c r="L292" s="5">
        <v>9.9499999999999991E-2</v>
      </c>
      <c r="M292" s="3" t="s">
        <v>44</v>
      </c>
      <c r="N292" s="3">
        <v>926</v>
      </c>
      <c r="O292" s="6">
        <f>Table1[[#This Row],[Current coupon %]]*Table1[[#This Row],[Face value]]/Table1[[#This Row],[Ask Price]]</f>
        <v>9.6144555029471432E-2</v>
      </c>
      <c r="P292" s="3"/>
      <c r="Q292" s="3" t="s">
        <v>22</v>
      </c>
      <c r="R292">
        <f t="shared" si="4"/>
        <v>5</v>
      </c>
      <c r="S292" s="22" cm="1">
        <f t="array" ref="S292">_xlfn.IFS(Table1[[#This Row],[Coupon frequency]]="Semi-annual",2,Table1[[#This Row],[Coupon frequency]]="Quarterly",4,Table1[[#This Row],[Coupon frequency]]="Annual",1,Table1[[#This Row],[Coupon frequency]]="Every 4 months",3,Table1[[#This Row],[Coupon frequency]]="Monthly",12)</f>
        <v>4</v>
      </c>
      <c r="T292">
        <f>Table1[[#This Row],[Term to Maturity (Years)]]*Table1[[#This Row],[Coupon Frequency2]]</f>
        <v>20</v>
      </c>
      <c r="U292">
        <f>Table1[[#This Row],[Face value]]*Table1[[#This Row],[Current coupon %]]/Table1[[#This Row],[Coupon Frequency2]]</f>
        <v>24874.999999999996</v>
      </c>
      <c r="V292" s="23">
        <f>RATE(Table1[[#This Row],[Total No. of Coupons]],Table1[[#This Row],[Coupon Amount]],-Table1[[#This Row],[Ask Price]],Table1[[#This Row],[Face value]])</f>
        <v>2.2684929730660611E-2</v>
      </c>
      <c r="W292" s="24">
        <f>Table1[[#This Row],[IRR]]*Table1[[#This Row],[Coupon Frequency2]]</f>
        <v>9.0739718922642446E-2</v>
      </c>
      <c r="X292" s="25" cm="1">
        <f t="array" ref="X29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92" s="26">
        <f>DURATION(Table1[[#This Row],[Issue date]],Table1[[#This Row],[Maturity date]],Table1[[#This Row],[Current coupon %]],Table1[[#This Row],[Yield (Annualised)]],Table1[[#This Row],[Coupon Frequency2]])</f>
        <v>4.3074786901730882</v>
      </c>
      <c r="Z292" s="26">
        <f>Table1[[#This Row],[Macaulay Duration in Years]]/(1+Table1[[#This Row],[IRR]])</f>
        <v>4.2119313240564979</v>
      </c>
      <c r="AA292" s="27">
        <f>VLOOKUP(Table1[[#This Row],[Yield Cluster]],'[1]Cluster Details'!$B$3:$C$16,2,0)</f>
        <v>7.8548801574189142E-2</v>
      </c>
      <c r="AB292" s="28">
        <f>PRICE(Table1[[#This Row],[Issue date]],Table1[[#This Row],[Maturity date]],Table1[[#This Row],[Current coupon %]],Table1[[#This Row],[Average Cluster Yield]],100,Table1[[#This Row],[Coupon Frequency2]])*Table1[[#This Row],[Face value]]/100</f>
        <v>1092561.9563937774</v>
      </c>
      <c r="AC292" s="27" t="str">
        <f>IF(Table1[[#This Row],[Ask Price]]&gt;Table1[[#This Row],[Calculated Bond Price]],"Rich","Cheap")</f>
        <v>Cheap</v>
      </c>
      <c r="AD292" s="28">
        <f>PRICE(Table1[[#This Row],[Issue date]],Table1[[#This Row],[Maturity date]],Table1[[#This Row],[Current coupon %]],Table1[[#This Row],[Yield (Annualised)]]+$AE$2,100,Table1[[#This Row],[Coupon Frequency2]])*Table1[[#This Row],[Face value]]/100</f>
        <v>994805.41547719121</v>
      </c>
      <c r="AE292" s="28">
        <f>PRICE(Table1[[#This Row],[Issue date]],Table1[[#This Row],[Maturity date]],Table1[[#This Row],[Current coupon %]],Table1[[#This Row],[Yield (Annualised)]]-$AE$2,100,Table1[[#This Row],[Coupon Frequency2]])*Table1[[#This Row],[Face value]]/100</f>
        <v>1082406.3325553066</v>
      </c>
      <c r="AF292" s="28">
        <f>(Table1[[#This Row],[P (+ shock)]]+Table1[[#This Row],[P (-shock)]]-2*Table1[[#This Row],[Ask Price]])/(2*Table1[[#This Row],[Ask Price]]*($AE$2^2))</f>
        <v>35.809005858042838</v>
      </c>
    </row>
    <row r="293" spans="1:32" x14ac:dyDescent="0.25">
      <c r="A293" s="21" t="s">
        <v>636</v>
      </c>
      <c r="B293" s="3" t="s">
        <v>637</v>
      </c>
      <c r="C293" s="3" t="s">
        <v>19</v>
      </c>
      <c r="D293" s="4">
        <v>45902</v>
      </c>
      <c r="E293" s="4">
        <v>46448</v>
      </c>
      <c r="F293" s="3">
        <v>100000</v>
      </c>
      <c r="G293" s="3" t="s">
        <v>20</v>
      </c>
      <c r="H293" s="3">
        <v>100421.23</v>
      </c>
      <c r="I293" s="3" t="s">
        <v>20</v>
      </c>
      <c r="J293" s="3">
        <v>100.42122999999999</v>
      </c>
      <c r="K293" s="3">
        <v>26</v>
      </c>
      <c r="L293" s="5">
        <v>0.10249999999999999</v>
      </c>
      <c r="M293" s="3" t="s">
        <v>44</v>
      </c>
      <c r="N293" s="3">
        <v>531</v>
      </c>
      <c r="O293" s="6">
        <f>Table1[[#This Row],[Current coupon %]]*Table1[[#This Row],[Face value]]/Table1[[#This Row],[Ask Price]]</f>
        <v>0.10207005032700756</v>
      </c>
      <c r="P293" s="3"/>
      <c r="Q293" s="3" t="s">
        <v>22</v>
      </c>
      <c r="R293">
        <f t="shared" si="4"/>
        <v>2</v>
      </c>
      <c r="S293" s="22" cm="1">
        <f t="array" ref="S293">_xlfn.IFS(Table1[[#This Row],[Coupon frequency]]="Semi-annual",2,Table1[[#This Row],[Coupon frequency]]="Quarterly",4,Table1[[#This Row],[Coupon frequency]]="Annual",1,Table1[[#This Row],[Coupon frequency]]="Every 4 months",3,Table1[[#This Row],[Coupon frequency]]="Monthly",12)</f>
        <v>4</v>
      </c>
      <c r="T293">
        <f>Table1[[#This Row],[Term to Maturity (Years)]]*Table1[[#This Row],[Coupon Frequency2]]</f>
        <v>8</v>
      </c>
      <c r="U293">
        <f>Table1[[#This Row],[Face value]]*Table1[[#This Row],[Current coupon %]]/Table1[[#This Row],[Coupon Frequency2]]</f>
        <v>2562.5</v>
      </c>
      <c r="V293" s="23">
        <f>RATE(Table1[[#This Row],[Total No. of Coupons]],Table1[[#This Row],[Coupon Amount]],-Table1[[#This Row],[Ask Price]],Table1[[#This Row],[Face value]])</f>
        <v>2.5037427941414992E-2</v>
      </c>
      <c r="W293" s="24">
        <f>Table1[[#This Row],[IRR]]*Table1[[#This Row],[Coupon Frequency2]]</f>
        <v>0.10014971176565997</v>
      </c>
      <c r="X293" s="25" cm="1">
        <f t="array" ref="X29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93" s="26">
        <f>DURATION(Table1[[#This Row],[Issue date]],Table1[[#This Row],[Maturity date]],Table1[[#This Row],[Current coupon %]],Table1[[#This Row],[Yield (Annualised)]],Table1[[#This Row],[Coupon Frequency2]])</f>
        <v>1.4095438753609604</v>
      </c>
      <c r="Z293" s="26">
        <f>Table1[[#This Row],[Macaulay Duration in Years]]/(1+Table1[[#This Row],[IRR]])</f>
        <v>1.3751145440530408</v>
      </c>
      <c r="AA293" s="27">
        <f>VLOOKUP(Table1[[#This Row],[Yield Cluster]],'[1]Cluster Details'!$B$3:$C$16,2,0)</f>
        <v>0.11069942689191503</v>
      </c>
      <c r="AB293" s="28">
        <f>PRICE(Table1[[#This Row],[Issue date]],Table1[[#This Row],[Maturity date]],Table1[[#This Row],[Current coupon %]],Table1[[#This Row],[Average Cluster Yield]],100,Table1[[#This Row],[Coupon Frequency2]])*Table1[[#This Row],[Face value]]/100</f>
        <v>98880.944629784135</v>
      </c>
      <c r="AC293" s="27" t="str">
        <f>IF(Table1[[#This Row],[Ask Price]]&gt;Table1[[#This Row],[Calculated Bond Price]],"Rich","Cheap")</f>
        <v>Rich</v>
      </c>
      <c r="AD293" s="28">
        <f>PRICE(Table1[[#This Row],[Issue date]],Table1[[#This Row],[Maturity date]],Table1[[#This Row],[Current coupon %]],Table1[[#This Row],[Yield (Annualised)]]+$AE$2,100,Table1[[#This Row],[Coupon Frequency2]])*Table1[[#This Row],[Face value]]/100</f>
        <v>98955.491875547872</v>
      </c>
      <c r="AE293" s="28">
        <f>PRICE(Table1[[#This Row],[Issue date]],Table1[[#This Row],[Maturity date]],Table1[[#This Row],[Current coupon %]],Table1[[#This Row],[Yield (Annualised)]]-$AE$2,100,Table1[[#This Row],[Coupon Frequency2]])*Table1[[#This Row],[Face value]]/100</f>
        <v>101714.76911510785</v>
      </c>
      <c r="AF293" s="28">
        <f>(Table1[[#This Row],[P (+ shock)]]+Table1[[#This Row],[P (-shock)]]-2*Table1[[#This Row],[Ask Price]])/(2*Table1[[#This Row],[Ask Price]]*($AE$2^2))</f>
        <v>-8.5738349024540312</v>
      </c>
    </row>
    <row r="294" spans="1:32" x14ac:dyDescent="0.25">
      <c r="A294" s="21" t="s">
        <v>638</v>
      </c>
      <c r="B294" s="3" t="s">
        <v>639</v>
      </c>
      <c r="C294" s="3" t="s">
        <v>19</v>
      </c>
      <c r="D294" s="4">
        <v>44841</v>
      </c>
      <c r="E294" s="4">
        <v>47207</v>
      </c>
      <c r="F294" s="3">
        <v>1000000</v>
      </c>
      <c r="G294" s="3" t="s">
        <v>20</v>
      </c>
      <c r="H294" s="3">
        <v>1037000</v>
      </c>
      <c r="I294" s="3" t="s">
        <v>20</v>
      </c>
      <c r="J294" s="3">
        <v>103.69999999999899</v>
      </c>
      <c r="K294" s="3">
        <v>1</v>
      </c>
      <c r="L294" s="5">
        <v>9.9499999999999991E-2</v>
      </c>
      <c r="M294" s="3" t="s">
        <v>44</v>
      </c>
      <c r="N294" s="3">
        <v>1290</v>
      </c>
      <c r="O294" s="6">
        <f>Table1[[#This Row],[Current coupon %]]*Table1[[#This Row],[Face value]]/Table1[[#This Row],[Ask Price]]</f>
        <v>9.5949855351976837E-2</v>
      </c>
      <c r="P294" s="3"/>
      <c r="Q294" s="3" t="s">
        <v>22</v>
      </c>
      <c r="R294">
        <f t="shared" si="4"/>
        <v>6</v>
      </c>
      <c r="S294" s="22" cm="1">
        <f t="array" ref="S294">_xlfn.IFS(Table1[[#This Row],[Coupon frequency]]="Semi-annual",2,Table1[[#This Row],[Coupon frequency]]="Quarterly",4,Table1[[#This Row],[Coupon frequency]]="Annual",1,Table1[[#This Row],[Coupon frequency]]="Every 4 months",3,Table1[[#This Row],[Coupon frequency]]="Monthly",12)</f>
        <v>4</v>
      </c>
      <c r="T294">
        <f>Table1[[#This Row],[Term to Maturity (Years)]]*Table1[[#This Row],[Coupon Frequency2]]</f>
        <v>24</v>
      </c>
      <c r="U294">
        <f>Table1[[#This Row],[Face value]]*Table1[[#This Row],[Current coupon %]]/Table1[[#This Row],[Coupon Frequency2]]</f>
        <v>24874.999999999996</v>
      </c>
      <c r="V294" s="23">
        <f>RATE(Table1[[#This Row],[Total No. of Coupons]],Table1[[#This Row],[Coupon Amount]],-Table1[[#This Row],[Ask Price]],Table1[[#This Row],[Face value]])</f>
        <v>2.2854933473686393E-2</v>
      </c>
      <c r="W294" s="24">
        <f>Table1[[#This Row],[IRR]]*Table1[[#This Row],[Coupon Frequency2]]</f>
        <v>9.1419733894745572E-2</v>
      </c>
      <c r="X294" s="25" cm="1">
        <f t="array" ref="X29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94" s="26">
        <f>DURATION(Table1[[#This Row],[Issue date]],Table1[[#This Row],[Maturity date]],Table1[[#This Row],[Current coupon %]],Table1[[#This Row],[Yield (Annualised)]],Table1[[#This Row],[Coupon Frequency2]])</f>
        <v>4.8794580907059268</v>
      </c>
      <c r="Z294" s="26">
        <f>Table1[[#This Row],[Macaulay Duration in Years]]/(1+Table1[[#This Row],[IRR]])</f>
        <v>4.7704302252665958</v>
      </c>
      <c r="AA294" s="27">
        <f>VLOOKUP(Table1[[#This Row],[Yield Cluster]],'[1]Cluster Details'!$B$3:$C$16,2,0)</f>
        <v>7.8548801574189142E-2</v>
      </c>
      <c r="AB294" s="28">
        <f>PRICE(Table1[[#This Row],[Issue date]],Table1[[#This Row],[Maturity date]],Table1[[#This Row],[Current coupon %]],Table1[[#This Row],[Average Cluster Yield]],100,Table1[[#This Row],[Coupon Frequency2]])*Table1[[#This Row],[Face value]]/100</f>
        <v>1105595.1078044025</v>
      </c>
      <c r="AC294" s="27" t="str">
        <f>IF(Table1[[#This Row],[Ask Price]]&gt;Table1[[#This Row],[Calculated Bond Price]],"Rich","Cheap")</f>
        <v>Cheap</v>
      </c>
      <c r="AD294" s="28">
        <f>PRICE(Table1[[#This Row],[Issue date]],Table1[[#This Row],[Maturity date]],Table1[[#This Row],[Current coupon %]],Table1[[#This Row],[Yield (Annualised)]]+$AE$2,100,Table1[[#This Row],[Coupon Frequency2]])*Table1[[#This Row],[Face value]]/100</f>
        <v>990940.00764272839</v>
      </c>
      <c r="AE294" s="28">
        <f>PRICE(Table1[[#This Row],[Issue date]],Table1[[#This Row],[Maturity date]],Table1[[#This Row],[Current coupon %]],Table1[[#This Row],[Yield (Annualised)]]-$AE$2,100,Table1[[#This Row],[Coupon Frequency2]])*Table1[[#This Row],[Face value]]/100</f>
        <v>1090333.2997148698</v>
      </c>
      <c r="AF294" s="28">
        <f>(Table1[[#This Row],[P (+ shock)]]+Table1[[#This Row],[P (-shock)]]-2*Table1[[#This Row],[Ask Price]])/(2*Table1[[#This Row],[Ask Price]]*($AE$2^2))</f>
        <v>35.068984366432481</v>
      </c>
    </row>
    <row r="295" spans="1:32" x14ac:dyDescent="0.25">
      <c r="A295" s="21" t="s">
        <v>640</v>
      </c>
      <c r="B295" s="3" t="s">
        <v>641</v>
      </c>
      <c r="C295" s="3" t="s">
        <v>19</v>
      </c>
      <c r="D295" s="4">
        <v>45750</v>
      </c>
      <c r="E295" s="4">
        <v>46480</v>
      </c>
      <c r="F295" s="3">
        <v>1000</v>
      </c>
      <c r="G295" s="3" t="s">
        <v>20</v>
      </c>
      <c r="H295" s="3">
        <v>990.2</v>
      </c>
      <c r="I295" s="3" t="s">
        <v>20</v>
      </c>
      <c r="J295" s="3">
        <v>99.02</v>
      </c>
      <c r="K295" s="3">
        <v>10</v>
      </c>
      <c r="L295" s="5">
        <v>9.5000000000000001E-2</v>
      </c>
      <c r="M295" s="3" t="s">
        <v>21</v>
      </c>
      <c r="N295" s="3">
        <v>563</v>
      </c>
      <c r="O295" s="6">
        <f>Table1[[#This Row],[Current coupon %]]*Table1[[#This Row],[Face value]]/Table1[[#This Row],[Ask Price]]</f>
        <v>9.5940214098161988E-2</v>
      </c>
      <c r="P295" s="3"/>
      <c r="Q295" s="3" t="s">
        <v>22</v>
      </c>
      <c r="R295">
        <f t="shared" si="4"/>
        <v>2</v>
      </c>
      <c r="S295" s="22" cm="1">
        <f t="array" ref="S295">_xlfn.IFS(Table1[[#This Row],[Coupon frequency]]="Semi-annual",2,Table1[[#This Row],[Coupon frequency]]="Quarterly",4,Table1[[#This Row],[Coupon frequency]]="Annual",1,Table1[[#This Row],[Coupon frequency]]="Every 4 months",3,Table1[[#This Row],[Coupon frequency]]="Monthly",12)</f>
        <v>1</v>
      </c>
      <c r="T295">
        <f>Table1[[#This Row],[Term to Maturity (Years)]]*Table1[[#This Row],[Coupon Frequency2]]</f>
        <v>2</v>
      </c>
      <c r="U295">
        <f>Table1[[#This Row],[Face value]]*Table1[[#This Row],[Current coupon %]]/Table1[[#This Row],[Coupon Frequency2]]</f>
        <v>95</v>
      </c>
      <c r="V295" s="23">
        <f>RATE(Table1[[#This Row],[Total No. of Coupons]],Table1[[#This Row],[Coupon Amount]],-Table1[[#This Row],[Ask Price]],Table1[[#This Row],[Face value]])</f>
        <v>0.10065160483244678</v>
      </c>
      <c r="W295" s="24">
        <f>Table1[[#This Row],[IRR]]*Table1[[#This Row],[Coupon Frequency2]]</f>
        <v>0.10065160483244678</v>
      </c>
      <c r="X295" s="25" cm="1">
        <f t="array" ref="X29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95" s="26">
        <f>DURATION(Table1[[#This Row],[Issue date]],Table1[[#This Row],[Maturity date]],Table1[[#This Row],[Current coupon %]],Table1[[#This Row],[Yield (Annualised)]],Table1[[#This Row],[Coupon Frequency2]])</f>
        <v>1.9128332583381216</v>
      </c>
      <c r="Z295" s="26">
        <f>Table1[[#This Row],[Macaulay Duration in Years]]/(1+Table1[[#This Row],[IRR]])</f>
        <v>1.7379098435324718</v>
      </c>
      <c r="AA295" s="27">
        <f>VLOOKUP(Table1[[#This Row],[Yield Cluster]],'[1]Cluster Details'!$B$3:$C$16,2,0)</f>
        <v>0.11069942689191503</v>
      </c>
      <c r="AB295" s="28">
        <f>PRICE(Table1[[#This Row],[Issue date]],Table1[[#This Row],[Maturity date]],Table1[[#This Row],[Current coupon %]],Table1[[#This Row],[Average Cluster Yield]],100,Table1[[#This Row],[Coupon Frequency2]])*Table1[[#This Row],[Face value]]/100</f>
        <v>973.13931428264948</v>
      </c>
      <c r="AC295" s="27" t="str">
        <f>IF(Table1[[#This Row],[Ask Price]]&gt;Table1[[#This Row],[Calculated Bond Price]],"Rich","Cheap")</f>
        <v>Rich</v>
      </c>
      <c r="AD295" s="28">
        <f>PRICE(Table1[[#This Row],[Issue date]],Table1[[#This Row],[Maturity date]],Table1[[#This Row],[Current coupon %]],Table1[[#This Row],[Yield (Annualised)]]+$AE$2,100,Table1[[#This Row],[Coupon Frequency2]])*Table1[[#This Row],[Face value]]/100</f>
        <v>973.21943533771469</v>
      </c>
      <c r="AE295" s="28">
        <f>PRICE(Table1[[#This Row],[Issue date]],Table1[[#This Row],[Maturity date]],Table1[[#This Row],[Current coupon %]],Table1[[#This Row],[Yield (Annualised)]]-$AE$2,100,Table1[[#This Row],[Coupon Frequency2]])*Table1[[#This Row],[Face value]]/100</f>
        <v>1007.6425552159424</v>
      </c>
      <c r="AF295" s="28">
        <f>(Table1[[#This Row],[P (+ shock)]]+Table1[[#This Row],[P (-shock)]]-2*Table1[[#This Row],[Ask Price]])/(2*Table1[[#This Row],[Ask Price]]*($AE$2^2))</f>
        <v>2.3328143489040616</v>
      </c>
    </row>
    <row r="296" spans="1:32" x14ac:dyDescent="0.25">
      <c r="A296" s="21" t="s">
        <v>642</v>
      </c>
      <c r="B296" s="3" t="s">
        <v>643</v>
      </c>
      <c r="C296" s="3" t="s">
        <v>19</v>
      </c>
      <c r="D296" s="4">
        <v>45476</v>
      </c>
      <c r="E296" s="4">
        <v>46206</v>
      </c>
      <c r="F296" s="3">
        <v>1000</v>
      </c>
      <c r="G296" s="3" t="s">
        <v>20</v>
      </c>
      <c r="H296" s="3">
        <v>991.2</v>
      </c>
      <c r="I296" s="3" t="s">
        <v>20</v>
      </c>
      <c r="J296" s="3">
        <v>99.12</v>
      </c>
      <c r="K296" s="3">
        <v>100</v>
      </c>
      <c r="L296" s="5">
        <v>9.5000000000000001E-2</v>
      </c>
      <c r="M296" s="3" t="s">
        <v>21</v>
      </c>
      <c r="N296" s="3">
        <v>289</v>
      </c>
      <c r="O296" s="6">
        <f>Table1[[#This Row],[Current coupon %]]*Table1[[#This Row],[Face value]]/Table1[[#This Row],[Ask Price]]</f>
        <v>9.5843422114608556E-2</v>
      </c>
      <c r="P296" s="3"/>
      <c r="Q296" s="3" t="s">
        <v>22</v>
      </c>
      <c r="R296">
        <f t="shared" si="4"/>
        <v>2</v>
      </c>
      <c r="S296" s="22" cm="1">
        <f t="array" ref="S296">_xlfn.IFS(Table1[[#This Row],[Coupon frequency]]="Semi-annual",2,Table1[[#This Row],[Coupon frequency]]="Quarterly",4,Table1[[#This Row],[Coupon frequency]]="Annual",1,Table1[[#This Row],[Coupon frequency]]="Every 4 months",3,Table1[[#This Row],[Coupon frequency]]="Monthly",12)</f>
        <v>1</v>
      </c>
      <c r="T296">
        <f>Table1[[#This Row],[Term to Maturity (Years)]]*Table1[[#This Row],[Coupon Frequency2]]</f>
        <v>2</v>
      </c>
      <c r="U296">
        <f>Table1[[#This Row],[Face value]]*Table1[[#This Row],[Current coupon %]]/Table1[[#This Row],[Coupon Frequency2]]</f>
        <v>95</v>
      </c>
      <c r="V296" s="23">
        <f>RATE(Table1[[#This Row],[Total No. of Coupons]],Table1[[#This Row],[Coupon Amount]],-Table1[[#This Row],[Ask Price]],Table1[[#This Row],[Face value]])</f>
        <v>0.10007095902013316</v>
      </c>
      <c r="W296" s="24">
        <f>Table1[[#This Row],[IRR]]*Table1[[#This Row],[Coupon Frequency2]]</f>
        <v>0.10007095902013316</v>
      </c>
      <c r="X296" s="25" cm="1">
        <f t="array" ref="X29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296" s="26">
        <f>DURATION(Table1[[#This Row],[Issue date]],Table1[[#This Row],[Maturity date]],Table1[[#This Row],[Current coupon %]],Table1[[#This Row],[Yield (Annualised)]],Table1[[#This Row],[Coupon Frequency2]])</f>
        <v>1.9128752365239121</v>
      </c>
      <c r="Z296" s="26">
        <f>Table1[[#This Row],[Macaulay Duration in Years]]/(1+Table1[[#This Row],[IRR]])</f>
        <v>1.7388653166771793</v>
      </c>
      <c r="AA296" s="27">
        <f>VLOOKUP(Table1[[#This Row],[Yield Cluster]],'[1]Cluster Details'!$B$3:$C$16,2,0)</f>
        <v>0.11069942689191503</v>
      </c>
      <c r="AB296" s="28">
        <f>PRICE(Table1[[#This Row],[Issue date]],Table1[[#This Row],[Maturity date]],Table1[[#This Row],[Current coupon %]],Table1[[#This Row],[Average Cluster Yield]],100,Table1[[#This Row],[Coupon Frequency2]])*Table1[[#This Row],[Face value]]/100</f>
        <v>973.13931428264948</v>
      </c>
      <c r="AC296" s="27" t="str">
        <f>IF(Table1[[#This Row],[Ask Price]]&gt;Table1[[#This Row],[Calculated Bond Price]],"Rich","Cheap")</f>
        <v>Rich</v>
      </c>
      <c r="AD296" s="28">
        <f>PRICE(Table1[[#This Row],[Issue date]],Table1[[#This Row],[Maturity date]],Table1[[#This Row],[Current coupon %]],Table1[[#This Row],[Yield (Annualised)]]+$AE$2,100,Table1[[#This Row],[Coupon Frequency2]])*Table1[[#This Row],[Face value]]/100</f>
        <v>974.19306267238426</v>
      </c>
      <c r="AE296" s="28">
        <f>PRICE(Table1[[#This Row],[Issue date]],Table1[[#This Row],[Maturity date]],Table1[[#This Row],[Current coupon %]],Table1[[#This Row],[Yield (Annualised)]]-$AE$2,100,Table1[[#This Row],[Coupon Frequency2]])*Table1[[#This Row],[Face value]]/100</f>
        <v>1008.669896651895</v>
      </c>
      <c r="AF296" s="28">
        <f>(Table1[[#This Row],[P (+ shock)]]+Table1[[#This Row],[P (-shock)]]-2*Table1[[#This Row],[Ask Price]])/(2*Table1[[#This Row],[Ask Price]]*($AE$2^2))</f>
        <v>2.3353476809884697</v>
      </c>
    </row>
    <row r="297" spans="1:32" x14ac:dyDescent="0.25">
      <c r="A297" s="21" t="s">
        <v>644</v>
      </c>
      <c r="B297" s="3" t="s">
        <v>645</v>
      </c>
      <c r="C297" s="3" t="s">
        <v>19</v>
      </c>
      <c r="D297" s="4">
        <v>45455</v>
      </c>
      <c r="E297" s="4">
        <v>47281</v>
      </c>
      <c r="F297" s="3">
        <v>1000</v>
      </c>
      <c r="G297" s="3" t="s">
        <v>20</v>
      </c>
      <c r="H297" s="3">
        <v>1001.9</v>
      </c>
      <c r="I297" s="3" t="s">
        <v>20</v>
      </c>
      <c r="J297" s="3">
        <v>100.19</v>
      </c>
      <c r="K297" s="3">
        <v>23</v>
      </c>
      <c r="L297" s="5">
        <v>9.6000000000000002E-2</v>
      </c>
      <c r="M297" s="3" t="s">
        <v>21</v>
      </c>
      <c r="N297" s="3">
        <v>1364</v>
      </c>
      <c r="O297" s="6">
        <f>Table1[[#This Row],[Current coupon %]]*Table1[[#This Row],[Face value]]/Table1[[#This Row],[Ask Price]]</f>
        <v>9.581794590278471E-2</v>
      </c>
      <c r="P297" s="3"/>
      <c r="Q297" s="3" t="s">
        <v>22</v>
      </c>
      <c r="R297">
        <f t="shared" si="4"/>
        <v>5</v>
      </c>
      <c r="S297" s="22" cm="1">
        <f t="array" ref="S297">_xlfn.IFS(Table1[[#This Row],[Coupon frequency]]="Semi-annual",2,Table1[[#This Row],[Coupon frequency]]="Quarterly",4,Table1[[#This Row],[Coupon frequency]]="Annual",1,Table1[[#This Row],[Coupon frequency]]="Every 4 months",3,Table1[[#This Row],[Coupon frequency]]="Monthly",12)</f>
        <v>1</v>
      </c>
      <c r="T297">
        <f>Table1[[#This Row],[Term to Maturity (Years)]]*Table1[[#This Row],[Coupon Frequency2]]</f>
        <v>5</v>
      </c>
      <c r="U297">
        <f>Table1[[#This Row],[Face value]]*Table1[[#This Row],[Current coupon %]]/Table1[[#This Row],[Coupon Frequency2]]</f>
        <v>96</v>
      </c>
      <c r="V297" s="23">
        <f>RATE(Table1[[#This Row],[Total No. of Coupons]],Table1[[#This Row],[Coupon Amount]],-Table1[[#This Row],[Ask Price]],Table1[[#This Row],[Face value]])</f>
        <v>9.5504527891210181E-2</v>
      </c>
      <c r="W297" s="24">
        <f>Table1[[#This Row],[IRR]]*Table1[[#This Row],[Coupon Frequency2]]</f>
        <v>9.5504527891210181E-2</v>
      </c>
      <c r="X297" s="25" cm="1">
        <f t="array" ref="X29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97" s="26">
        <f>DURATION(Table1[[#This Row],[Issue date]],Table1[[#This Row],[Maturity date]],Table1[[#This Row],[Current coupon %]],Table1[[#This Row],[Yield (Annualised)]],Table1[[#This Row],[Coupon Frequency2]])</f>
        <v>4.1983379717337668</v>
      </c>
      <c r="Z297" s="26">
        <f>Table1[[#This Row],[Macaulay Duration in Years]]/(1+Table1[[#This Row],[IRR]])</f>
        <v>3.8323328337267135</v>
      </c>
      <c r="AA297" s="27">
        <f>VLOOKUP(Table1[[#This Row],[Yield Cluster]],'[1]Cluster Details'!$B$3:$C$16,2,0)</f>
        <v>7.8548801574189142E-2</v>
      </c>
      <c r="AB297" s="28">
        <f>PRICE(Table1[[#This Row],[Issue date]],Table1[[#This Row],[Maturity date]],Table1[[#This Row],[Current coupon %]],Table1[[#This Row],[Average Cluster Yield]],100,Table1[[#This Row],[Coupon Frequency2]])*Table1[[#This Row],[Face value]]/100</f>
        <v>1069.944894330803</v>
      </c>
      <c r="AC297" s="27" t="str">
        <f>IF(Table1[[#This Row],[Ask Price]]&gt;Table1[[#This Row],[Calculated Bond Price]],"Rich","Cheap")</f>
        <v>Cheap</v>
      </c>
      <c r="AD297" s="28">
        <f>PRICE(Table1[[#This Row],[Issue date]],Table1[[#This Row],[Maturity date]],Table1[[#This Row],[Current coupon %]],Table1[[#This Row],[Yield (Annualised)]]+$AE$2,100,Table1[[#This Row],[Coupon Frequency2]])*Table1[[#This Row],[Face value]]/100</f>
        <v>964.47135122766213</v>
      </c>
      <c r="AE297" s="28">
        <f>PRICE(Table1[[#This Row],[Issue date]],Table1[[#This Row],[Maturity date]],Table1[[#This Row],[Current coupon %]],Table1[[#This Row],[Yield (Annualised)]]-$AE$2,100,Table1[[#This Row],[Coupon Frequency2]])*Table1[[#This Row],[Face value]]/100</f>
        <v>1041.3043894113541</v>
      </c>
      <c r="AF297" s="28">
        <f>(Table1[[#This Row],[P (+ shock)]]+Table1[[#This Row],[P (-shock)]]-2*Table1[[#This Row],[Ask Price]])/(2*Table1[[#This Row],[Ask Price]]*($AE$2^2))</f>
        <v>9.8599692534998216</v>
      </c>
    </row>
    <row r="298" spans="1:32" x14ac:dyDescent="0.25">
      <c r="A298" s="21" t="s">
        <v>646</v>
      </c>
      <c r="B298" s="3" t="s">
        <v>647</v>
      </c>
      <c r="C298" s="3" t="s">
        <v>19</v>
      </c>
      <c r="D298" s="4">
        <v>43447</v>
      </c>
      <c r="E298" s="4">
        <v>47100</v>
      </c>
      <c r="F298" s="3">
        <v>1000</v>
      </c>
      <c r="G298" s="3" t="s">
        <v>20</v>
      </c>
      <c r="H298" s="3">
        <v>1070</v>
      </c>
      <c r="I298" s="3" t="s">
        <v>20</v>
      </c>
      <c r="J298" s="3">
        <v>107</v>
      </c>
      <c r="K298" s="3">
        <v>15</v>
      </c>
      <c r="L298" s="5">
        <v>0.10249999999999999</v>
      </c>
      <c r="M298" s="3" t="s">
        <v>21</v>
      </c>
      <c r="N298" s="3">
        <v>1183</v>
      </c>
      <c r="O298" s="6">
        <f>Table1[[#This Row],[Current coupon %]]*Table1[[#This Row],[Face value]]/Table1[[#This Row],[Ask Price]]</f>
        <v>9.5794392523364483E-2</v>
      </c>
      <c r="P298" s="3"/>
      <c r="Q298" s="3" t="s">
        <v>22</v>
      </c>
      <c r="R298">
        <f t="shared" si="4"/>
        <v>10</v>
      </c>
      <c r="S298" s="22" cm="1">
        <f t="array" ref="S298">_xlfn.IFS(Table1[[#This Row],[Coupon frequency]]="Semi-annual",2,Table1[[#This Row],[Coupon frequency]]="Quarterly",4,Table1[[#This Row],[Coupon frequency]]="Annual",1,Table1[[#This Row],[Coupon frequency]]="Every 4 months",3,Table1[[#This Row],[Coupon frequency]]="Monthly",12)</f>
        <v>1</v>
      </c>
      <c r="T298">
        <f>Table1[[#This Row],[Term to Maturity (Years)]]*Table1[[#This Row],[Coupon Frequency2]]</f>
        <v>10</v>
      </c>
      <c r="U298">
        <f>Table1[[#This Row],[Face value]]*Table1[[#This Row],[Current coupon %]]/Table1[[#This Row],[Coupon Frequency2]]</f>
        <v>102.5</v>
      </c>
      <c r="V298" s="23">
        <f>RATE(Table1[[#This Row],[Total No. of Coupons]],Table1[[#This Row],[Coupon Amount]],-Table1[[#This Row],[Ask Price]],Table1[[#This Row],[Face value]])</f>
        <v>9.1519531860102518E-2</v>
      </c>
      <c r="W298" s="24">
        <f>Table1[[#This Row],[IRR]]*Table1[[#This Row],[Coupon Frequency2]]</f>
        <v>9.1519531860102518E-2</v>
      </c>
      <c r="X298" s="25" cm="1">
        <f t="array" ref="X29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98" s="26">
        <f>DURATION(Table1[[#This Row],[Issue date]],Table1[[#This Row],[Maturity date]],Table1[[#This Row],[Current coupon %]],Table1[[#This Row],[Yield (Annualised)]],Table1[[#This Row],[Coupon Frequency2]])</f>
        <v>6.8163157605164084</v>
      </c>
      <c r="Z298" s="26">
        <f>Table1[[#This Row],[Macaulay Duration in Years]]/(1+Table1[[#This Row],[IRR]])</f>
        <v>6.2447950417345712</v>
      </c>
      <c r="AA298" s="27">
        <f>VLOOKUP(Table1[[#This Row],[Yield Cluster]],'[1]Cluster Details'!$B$3:$C$16,2,0)</f>
        <v>7.8548801574189142E-2</v>
      </c>
      <c r="AB298" s="28">
        <f>PRICE(Table1[[#This Row],[Issue date]],Table1[[#This Row],[Maturity date]],Table1[[#This Row],[Current coupon %]],Table1[[#This Row],[Average Cluster Yield]],100,Table1[[#This Row],[Coupon Frequency2]])*Table1[[#This Row],[Face value]]/100</f>
        <v>1161.7717971555044</v>
      </c>
      <c r="AC298" s="27" t="str">
        <f>IF(Table1[[#This Row],[Ask Price]]&gt;Table1[[#This Row],[Calculated Bond Price]],"Rich","Cheap")</f>
        <v>Cheap</v>
      </c>
      <c r="AD298" s="28">
        <f>PRICE(Table1[[#This Row],[Issue date]],Table1[[#This Row],[Maturity date]],Table1[[#This Row],[Current coupon %]],Table1[[#This Row],[Yield (Annualised)]]+$AE$2,100,Table1[[#This Row],[Coupon Frequency2]])*Table1[[#This Row],[Face value]]/100</f>
        <v>1005.9854256986705</v>
      </c>
      <c r="AE298" s="28">
        <f>PRICE(Table1[[#This Row],[Issue date]],Table1[[#This Row],[Maturity date]],Table1[[#This Row],[Current coupon %]],Table1[[#This Row],[Yield (Annualised)]]-$AE$2,100,Table1[[#This Row],[Coupon Frequency2]])*Table1[[#This Row],[Face value]]/100</f>
        <v>1139.8208439004434</v>
      </c>
      <c r="AF298" s="28">
        <f>(Table1[[#This Row],[P (+ shock)]]+Table1[[#This Row],[P (-shock)]]-2*Table1[[#This Row],[Ask Price]])/(2*Table1[[#This Row],[Ask Price]]*($AE$2^2))</f>
        <v>27.132100930438668</v>
      </c>
    </row>
    <row r="299" spans="1:32" x14ac:dyDescent="0.25">
      <c r="A299" s="21" t="s">
        <v>648</v>
      </c>
      <c r="B299" s="3" t="s">
        <v>649</v>
      </c>
      <c r="C299" s="3" t="s">
        <v>19</v>
      </c>
      <c r="D299" s="4">
        <v>45639</v>
      </c>
      <c r="E299" s="4">
        <v>46554</v>
      </c>
      <c r="F299" s="3">
        <v>100000</v>
      </c>
      <c r="G299" s="3" t="s">
        <v>20</v>
      </c>
      <c r="H299" s="3">
        <v>100470.06</v>
      </c>
      <c r="I299" s="3" t="s">
        <v>20</v>
      </c>
      <c r="J299" s="3">
        <v>100.47006</v>
      </c>
      <c r="K299" s="3">
        <v>1</v>
      </c>
      <c r="L299" s="5">
        <v>9.6199999999999994E-2</v>
      </c>
      <c r="M299" s="3" t="s">
        <v>53</v>
      </c>
      <c r="N299" s="3">
        <v>637</v>
      </c>
      <c r="O299" s="6">
        <f>Table1[[#This Row],[Current coupon %]]*Table1[[#This Row],[Face value]]/Table1[[#This Row],[Ask Price]]</f>
        <v>9.5749917935751216E-2</v>
      </c>
      <c r="P299" s="3"/>
      <c r="Q299" s="3" t="s">
        <v>22</v>
      </c>
      <c r="R299">
        <f t="shared" si="4"/>
        <v>3</v>
      </c>
      <c r="S299" s="22" cm="1">
        <f t="array" ref="S299">_xlfn.IFS(Table1[[#This Row],[Coupon frequency]]="Semi-annual",2,Table1[[#This Row],[Coupon frequency]]="Quarterly",4,Table1[[#This Row],[Coupon frequency]]="Annual",1,Table1[[#This Row],[Coupon frequency]]="Every 4 months",3,Table1[[#This Row],[Coupon frequency]]="Monthly",12)</f>
        <v>2</v>
      </c>
      <c r="T299">
        <f>Table1[[#This Row],[Term to Maturity (Years)]]*Table1[[#This Row],[Coupon Frequency2]]</f>
        <v>6</v>
      </c>
      <c r="U299">
        <f>Table1[[#This Row],[Face value]]*Table1[[#This Row],[Current coupon %]]/Table1[[#This Row],[Coupon Frequency2]]</f>
        <v>4810</v>
      </c>
      <c r="V299" s="23">
        <f>RATE(Table1[[#This Row],[Total No. of Coupons]],Table1[[#This Row],[Coupon Amount]],-Table1[[#This Row],[Ask Price]],Table1[[#This Row],[Face value]])</f>
        <v>4.7182228258408489E-2</v>
      </c>
      <c r="W299" s="24">
        <f>Table1[[#This Row],[IRR]]*Table1[[#This Row],[Coupon Frequency2]]</f>
        <v>9.4364456516816977E-2</v>
      </c>
      <c r="X299" s="25" cm="1">
        <f t="array" ref="X29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299" s="26">
        <f>DURATION(Table1[[#This Row],[Issue date]],Table1[[#This Row],[Maturity date]],Table1[[#This Row],[Current coupon %]],Table1[[#This Row],[Yield (Annualised)]],Table1[[#This Row],[Coupon Frequency2]])</f>
        <v>2.1853643691001037</v>
      </c>
      <c r="Z299" s="26">
        <f>Table1[[#This Row],[Macaulay Duration in Years]]/(1+Table1[[#This Row],[IRR]])</f>
        <v>2.0868997869975607</v>
      </c>
      <c r="AA299" s="27">
        <f>VLOOKUP(Table1[[#This Row],[Yield Cluster]],'[1]Cluster Details'!$B$3:$C$16,2,0)</f>
        <v>7.8548801574189142E-2</v>
      </c>
      <c r="AB299" s="28">
        <f>PRICE(Table1[[#This Row],[Issue date]],Table1[[#This Row],[Maturity date]],Table1[[#This Row],[Current coupon %]],Table1[[#This Row],[Average Cluster Yield]],100,Table1[[#This Row],[Coupon Frequency2]])*Table1[[#This Row],[Face value]]/100</f>
        <v>103947.39010922721</v>
      </c>
      <c r="AC299" s="27" t="str">
        <f>IF(Table1[[#This Row],[Ask Price]]&gt;Table1[[#This Row],[Calculated Bond Price]],"Rich","Cheap")</f>
        <v>Cheap</v>
      </c>
      <c r="AD299" s="28">
        <f>PRICE(Table1[[#This Row],[Issue date]],Table1[[#This Row],[Maturity date]],Table1[[#This Row],[Current coupon %]],Table1[[#This Row],[Yield (Annualised)]]+$AE$2,100,Table1[[#This Row],[Coupon Frequency2]])*Table1[[#This Row],[Face value]]/100</f>
        <v>98236.057728458312</v>
      </c>
      <c r="AE299" s="28">
        <f>PRICE(Table1[[#This Row],[Issue date]],Table1[[#This Row],[Maturity date]],Table1[[#This Row],[Current coupon %]],Table1[[#This Row],[Yield (Annualised)]]-$AE$2,100,Table1[[#This Row],[Coupon Frequency2]])*Table1[[#This Row],[Face value]]/100</f>
        <v>102624.62954071612</v>
      </c>
      <c r="AF299" s="28">
        <f>(Table1[[#This Row],[P (+ shock)]]+Table1[[#This Row],[P (-shock)]]-2*Table1[[#This Row],[Ask Price]])/(2*Table1[[#This Row],[Ask Price]]*($AE$2^2))</f>
        <v>-3.9530548118294995</v>
      </c>
    </row>
    <row r="300" spans="1:32" x14ac:dyDescent="0.25">
      <c r="A300" s="21" t="s">
        <v>650</v>
      </c>
      <c r="B300" s="3" t="s">
        <v>651</v>
      </c>
      <c r="C300" s="3" t="s">
        <v>19</v>
      </c>
      <c r="D300" s="4">
        <v>45225</v>
      </c>
      <c r="E300" s="4">
        <v>47052</v>
      </c>
      <c r="F300" s="3">
        <v>1000</v>
      </c>
      <c r="G300" s="3" t="s">
        <v>20</v>
      </c>
      <c r="H300" s="3">
        <v>1055</v>
      </c>
      <c r="I300" s="3" t="s">
        <v>20</v>
      </c>
      <c r="J300" s="3">
        <v>105.5</v>
      </c>
      <c r="K300" s="3">
        <v>265</v>
      </c>
      <c r="L300" s="5">
        <v>0.10099999999999999</v>
      </c>
      <c r="M300" s="3" t="s">
        <v>21</v>
      </c>
      <c r="N300" s="3">
        <v>1135</v>
      </c>
      <c r="O300" s="6">
        <f>Table1[[#This Row],[Current coupon %]]*Table1[[#This Row],[Face value]]/Table1[[#This Row],[Ask Price]]</f>
        <v>9.5734597156398094E-2</v>
      </c>
      <c r="P300" s="3"/>
      <c r="Q300" s="3" t="s">
        <v>22</v>
      </c>
      <c r="R300">
        <f t="shared" si="4"/>
        <v>5</v>
      </c>
      <c r="S300" s="22" cm="1">
        <f t="array" ref="S300">_xlfn.IFS(Table1[[#This Row],[Coupon frequency]]="Semi-annual",2,Table1[[#This Row],[Coupon frequency]]="Quarterly",4,Table1[[#This Row],[Coupon frequency]]="Annual",1,Table1[[#This Row],[Coupon frequency]]="Every 4 months",3,Table1[[#This Row],[Coupon frequency]]="Monthly",12)</f>
        <v>1</v>
      </c>
      <c r="T300">
        <f>Table1[[#This Row],[Term to Maturity (Years)]]*Table1[[#This Row],[Coupon Frequency2]]</f>
        <v>5</v>
      </c>
      <c r="U300">
        <f>Table1[[#This Row],[Face value]]*Table1[[#This Row],[Current coupon %]]/Table1[[#This Row],[Coupon Frequency2]]</f>
        <v>100.99999999999999</v>
      </c>
      <c r="V300" s="23">
        <f>RATE(Table1[[#This Row],[Total No. of Coupons]],Table1[[#This Row],[Coupon Amount]],-Table1[[#This Row],[Ask Price]],Table1[[#This Row],[Face value]])</f>
        <v>8.6970875752927307E-2</v>
      </c>
      <c r="W300" s="24">
        <f>Table1[[#This Row],[IRR]]*Table1[[#This Row],[Coupon Frequency2]]</f>
        <v>8.6970875752927307E-2</v>
      </c>
      <c r="X300" s="25" cm="1">
        <f t="array" ref="X30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0" s="26">
        <f>DURATION(Table1[[#This Row],[Issue date]],Table1[[#This Row],[Maturity date]],Table1[[#This Row],[Current coupon %]],Table1[[#This Row],[Yield (Annualised)]],Table1[[#This Row],[Coupon Frequency2]])</f>
        <v>4.186949639696425</v>
      </c>
      <c r="Z300" s="26">
        <f>Table1[[#This Row],[Macaulay Duration in Years]]/(1+Table1[[#This Row],[IRR]])</f>
        <v>3.8519428009478101</v>
      </c>
      <c r="AA300" s="27">
        <f>VLOOKUP(Table1[[#This Row],[Yield Cluster]],'[1]Cluster Details'!$B$3:$C$16,2,0)</f>
        <v>7.8548801574189142E-2</v>
      </c>
      <c r="AB300" s="28">
        <f>PRICE(Table1[[#This Row],[Issue date]],Table1[[#This Row],[Maturity date]],Table1[[#This Row],[Current coupon %]],Table1[[#This Row],[Average Cluster Yield]],100,Table1[[#This Row],[Coupon Frequency2]])*Table1[[#This Row],[Face value]]/100</f>
        <v>1089.9850350203249</v>
      </c>
      <c r="AC300" s="27" t="str">
        <f>IF(Table1[[#This Row],[Ask Price]]&gt;Table1[[#This Row],[Calculated Bond Price]],"Rich","Cheap")</f>
        <v>Cheap</v>
      </c>
      <c r="AD300" s="28">
        <f>PRICE(Table1[[#This Row],[Issue date]],Table1[[#This Row],[Maturity date]],Table1[[#This Row],[Current coupon %]],Table1[[#This Row],[Yield (Annualised)]]+$AE$2,100,Table1[[#This Row],[Coupon Frequency2]])*Table1[[#This Row],[Face value]]/100</f>
        <v>1015.3924819620556</v>
      </c>
      <c r="AE300" s="28">
        <f>PRICE(Table1[[#This Row],[Issue date]],Table1[[#This Row],[Maturity date]],Table1[[#This Row],[Current coupon %]],Table1[[#This Row],[Yield (Annualised)]]-$AE$2,100,Table1[[#This Row],[Coupon Frequency2]])*Table1[[#This Row],[Face value]]/100</f>
        <v>1096.7121929855748</v>
      </c>
      <c r="AF300" s="28">
        <f>(Table1[[#This Row],[P (+ shock)]]+Table1[[#This Row],[P (-shock)]]-2*Table1[[#This Row],[Ask Price]])/(2*Table1[[#This Row],[Ask Price]]*($AE$2^2))</f>
        <v>9.9747627849783331</v>
      </c>
    </row>
    <row r="301" spans="1:32" x14ac:dyDescent="0.25">
      <c r="A301" s="21" t="s">
        <v>91</v>
      </c>
      <c r="B301" s="3" t="s">
        <v>92</v>
      </c>
      <c r="C301" s="3" t="s">
        <v>19</v>
      </c>
      <c r="D301" s="4">
        <v>45855</v>
      </c>
      <c r="E301" s="4">
        <v>46951</v>
      </c>
      <c r="F301" s="3">
        <v>1000</v>
      </c>
      <c r="G301" s="3" t="s">
        <v>20</v>
      </c>
      <c r="H301" s="3">
        <v>1005.5</v>
      </c>
      <c r="I301" s="3" t="s">
        <v>20</v>
      </c>
      <c r="J301" s="3">
        <v>100.55</v>
      </c>
      <c r="K301" s="3">
        <v>651</v>
      </c>
      <c r="L301" s="5">
        <v>9.1499999999999998E-2</v>
      </c>
      <c r="M301" s="3" t="s">
        <v>21</v>
      </c>
      <c r="N301" s="3">
        <v>1034</v>
      </c>
      <c r="O301" s="6">
        <f>Table1[[#This Row],[Current coupon %]]*Table1[[#This Row],[Face value]]/Table1[[#This Row],[Ask Price]]</f>
        <v>9.099950273495773E-2</v>
      </c>
      <c r="P301" s="3"/>
      <c r="Q301" s="3" t="s">
        <v>22</v>
      </c>
      <c r="R301">
        <f t="shared" si="4"/>
        <v>3</v>
      </c>
      <c r="S301" s="22" cm="1">
        <f t="array" ref="S301">_xlfn.IFS(Table1[[#This Row],[Coupon frequency]]="Semi-annual",2,Table1[[#This Row],[Coupon frequency]]="Quarterly",4,Table1[[#This Row],[Coupon frequency]]="Annual",1,Table1[[#This Row],[Coupon frequency]]="Every 4 months",3,Table1[[#This Row],[Coupon frequency]]="Monthly",12)</f>
        <v>1</v>
      </c>
      <c r="T301">
        <f>Table1[[#This Row],[Term to Maturity (Years)]]*Table1[[#This Row],[Coupon Frequency2]]</f>
        <v>3</v>
      </c>
      <c r="U301">
        <f>Table1[[#This Row],[Face value]]*Table1[[#This Row],[Current coupon %]]/Table1[[#This Row],[Coupon Frequency2]]</f>
        <v>91.5</v>
      </c>
      <c r="V301" s="23">
        <f>RATE(Table1[[#This Row],[Total No. of Coupons]],Table1[[#This Row],[Coupon Amount]],-Table1[[#This Row],[Ask Price]],Table1[[#This Row],[Face value]])</f>
        <v>8.9329793667924262E-2</v>
      </c>
      <c r="W301" s="24">
        <f>Table1[[#This Row],[IRR]]*Table1[[#This Row],[Coupon Frequency2]]</f>
        <v>8.9329793667924262E-2</v>
      </c>
      <c r="X301" s="25" cm="1">
        <f t="array" ref="X30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1" s="26">
        <f>DURATION(Table1[[#This Row],[Issue date]],Table1[[#This Row],[Maturity date]],Table1[[#This Row],[Current coupon %]],Table1[[#This Row],[Yield (Annualised)]],Table1[[#This Row],[Coupon Frequency2]])</f>
        <v>2.7562389703525745</v>
      </c>
      <c r="Z301" s="26">
        <f>Table1[[#This Row],[Macaulay Duration in Years]]/(1+Table1[[#This Row],[IRR]])</f>
        <v>2.530215354775101</v>
      </c>
      <c r="AA301" s="27">
        <f>VLOOKUP(Table1[[#This Row],[Yield Cluster]],'[1]Cluster Details'!$B$3:$C$16,2,0)</f>
        <v>7.8548801574189142E-2</v>
      </c>
      <c r="AB301" s="28">
        <f>PRICE(Table1[[#This Row],[Issue date]],Table1[[#This Row],[Maturity date]],Table1[[#This Row],[Current coupon %]],Table1[[#This Row],[Average Cluster Yield]],100,Table1[[#This Row],[Coupon Frequency2]])*Table1[[#This Row],[Face value]]/100</f>
        <v>1033.4640853774697</v>
      </c>
      <c r="AC301" s="27" t="str">
        <f>IF(Table1[[#This Row],[Ask Price]]&gt;Table1[[#This Row],[Calculated Bond Price]],"Rich","Cheap")</f>
        <v>Cheap</v>
      </c>
      <c r="AD301" s="28">
        <f>PRICE(Table1[[#This Row],[Issue date]],Table1[[#This Row],[Maturity date]],Table1[[#This Row],[Current coupon %]],Table1[[#This Row],[Yield (Annualised)]]+$AE$2,100,Table1[[#This Row],[Coupon Frequency2]])*Table1[[#This Row],[Face value]]/100</f>
        <v>980.50546455245012</v>
      </c>
      <c r="AE301" s="28">
        <f>PRICE(Table1[[#This Row],[Issue date]],Table1[[#This Row],[Maturity date]],Table1[[#This Row],[Current coupon %]],Table1[[#This Row],[Yield (Annualised)]]-$AE$2,100,Table1[[#This Row],[Coupon Frequency2]])*Table1[[#This Row],[Face value]]/100</f>
        <v>1031.4017695368043</v>
      </c>
      <c r="AF301" s="28">
        <f>(Table1[[#This Row],[P (+ shock)]]+Table1[[#This Row],[P (-shock)]]-2*Table1[[#This Row],[Ask Price]])/(2*Table1[[#This Row],[Ask Price]]*($AE$2^2))</f>
        <v>4.5113579773964005</v>
      </c>
    </row>
    <row r="302" spans="1:32" x14ac:dyDescent="0.25">
      <c r="A302" s="21" t="s">
        <v>652</v>
      </c>
      <c r="B302" s="3" t="s">
        <v>653</v>
      </c>
      <c r="C302" s="3" t="s">
        <v>19</v>
      </c>
      <c r="D302" s="4">
        <v>45590</v>
      </c>
      <c r="E302" s="4">
        <v>46135</v>
      </c>
      <c r="F302" s="3">
        <v>100000</v>
      </c>
      <c r="G302" s="3" t="s">
        <v>20</v>
      </c>
      <c r="H302" s="3">
        <v>100610.49</v>
      </c>
      <c r="I302" s="3" t="s">
        <v>20</v>
      </c>
      <c r="J302" s="3">
        <v>100.61049</v>
      </c>
      <c r="K302" s="3">
        <v>1</v>
      </c>
      <c r="L302" s="5">
        <v>9.6180000000000002E-2</v>
      </c>
      <c r="M302" s="3" t="s">
        <v>53</v>
      </c>
      <c r="N302" s="3">
        <v>218</v>
      </c>
      <c r="O302" s="6">
        <f>Table1[[#This Row],[Current coupon %]]*Table1[[#This Row],[Face value]]/Table1[[#This Row],[Ask Price]]</f>
        <v>9.5596393576852665E-2</v>
      </c>
      <c r="P302" s="3"/>
      <c r="Q302" s="3" t="s">
        <v>22</v>
      </c>
      <c r="R302">
        <f t="shared" si="4"/>
        <v>1</v>
      </c>
      <c r="S302" s="22" cm="1">
        <f t="array" ref="S302">_xlfn.IFS(Table1[[#This Row],[Coupon frequency]]="Semi-annual",2,Table1[[#This Row],[Coupon frequency]]="Quarterly",4,Table1[[#This Row],[Coupon frequency]]="Annual",1,Table1[[#This Row],[Coupon frequency]]="Every 4 months",3,Table1[[#This Row],[Coupon frequency]]="Monthly",12)</f>
        <v>2</v>
      </c>
      <c r="T302">
        <f>Table1[[#This Row],[Term to Maturity (Years)]]*Table1[[#This Row],[Coupon Frequency2]]</f>
        <v>2</v>
      </c>
      <c r="U302">
        <f>Table1[[#This Row],[Face value]]*Table1[[#This Row],[Current coupon %]]/Table1[[#This Row],[Coupon Frequency2]]</f>
        <v>4809</v>
      </c>
      <c r="V302" s="23">
        <f>RATE(Table1[[#This Row],[Total No. of Coupons]],Table1[[#This Row],[Coupon Amount]],-Table1[[#This Row],[Ask Price]],Table1[[#This Row],[Face value]])</f>
        <v>4.4830784330483778E-2</v>
      </c>
      <c r="W302" s="24">
        <f>Table1[[#This Row],[IRR]]*Table1[[#This Row],[Coupon Frequency2]]</f>
        <v>8.9661568660967556E-2</v>
      </c>
      <c r="X302" s="25" cm="1">
        <f t="array" ref="X30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2" s="26">
        <f>DURATION(Table1[[#This Row],[Issue date]],Table1[[#This Row],[Maturity date]],Table1[[#This Row],[Current coupon %]],Table1[[#This Row],[Yield (Annualised)]],Table1[[#This Row],[Coupon Frequency2]])</f>
        <v>1.4269964840198612</v>
      </c>
      <c r="Z302" s="26">
        <f>Table1[[#This Row],[Macaulay Duration in Years]]/(1+Table1[[#This Row],[IRR]])</f>
        <v>1.3657680319347263</v>
      </c>
      <c r="AA302" s="27">
        <f>VLOOKUP(Table1[[#This Row],[Yield Cluster]],'[1]Cluster Details'!$B$3:$C$16,2,0)</f>
        <v>7.8548801574189142E-2</v>
      </c>
      <c r="AB302" s="28">
        <f>PRICE(Table1[[#This Row],[Issue date]],Table1[[#This Row],[Maturity date]],Table1[[#This Row],[Current coupon %]],Table1[[#This Row],[Average Cluster Yield]],100,Table1[[#This Row],[Coupon Frequency2]])*Table1[[#This Row],[Face value]]/100</f>
        <v>102440.20971098902</v>
      </c>
      <c r="AC302" s="27" t="str">
        <f>IF(Table1[[#This Row],[Ask Price]]&gt;Table1[[#This Row],[Calculated Bond Price]],"Rich","Cheap")</f>
        <v>Cheap</v>
      </c>
      <c r="AD302" s="28">
        <f>PRICE(Table1[[#This Row],[Issue date]],Table1[[#This Row],[Maturity date]],Table1[[#This Row],[Current coupon %]],Table1[[#This Row],[Yield (Annualised)]]+$AE$2,100,Table1[[#This Row],[Coupon Frequency2]])*Table1[[#This Row],[Face value]]/100</f>
        <v>99526.148084357963</v>
      </c>
      <c r="AE302" s="28">
        <f>PRICE(Table1[[#This Row],[Issue date]],Table1[[#This Row],[Maturity date]],Table1[[#This Row],[Current coupon %]],Table1[[#This Row],[Yield (Annualised)]]-$AE$2,100,Table1[[#This Row],[Coupon Frequency2]])*Table1[[#This Row],[Face value]]/100</f>
        <v>102283.71290750807</v>
      </c>
      <c r="AF302" s="28">
        <f>(Table1[[#This Row],[P (+ shock)]]+Table1[[#This Row],[P (-shock)]]-2*Table1[[#This Row],[Ask Price]])/(2*Table1[[#This Row],[Ask Price]]*($AE$2^2))</f>
        <v>29.265387330189242</v>
      </c>
    </row>
    <row r="303" spans="1:32" x14ac:dyDescent="0.25">
      <c r="A303" s="21" t="s">
        <v>654</v>
      </c>
      <c r="B303" s="3" t="s">
        <v>655</v>
      </c>
      <c r="C303" s="3" t="s">
        <v>19</v>
      </c>
      <c r="D303" s="4">
        <v>44281</v>
      </c>
      <c r="E303" s="4">
        <v>46290</v>
      </c>
      <c r="F303" s="3">
        <v>1000000</v>
      </c>
      <c r="G303" s="3" t="s">
        <v>20</v>
      </c>
      <c r="H303" s="3">
        <v>1020000</v>
      </c>
      <c r="I303" s="3" t="s">
        <v>20</v>
      </c>
      <c r="J303" s="3">
        <v>102</v>
      </c>
      <c r="K303" s="3">
        <v>1</v>
      </c>
      <c r="L303" s="5">
        <v>9.7500000000000003E-2</v>
      </c>
      <c r="M303" s="3" t="s">
        <v>21</v>
      </c>
      <c r="N303" s="3">
        <v>373</v>
      </c>
      <c r="O303" s="6">
        <f>Table1[[#This Row],[Current coupon %]]*Table1[[#This Row],[Face value]]/Table1[[#This Row],[Ask Price]]</f>
        <v>9.5588235294117641E-2</v>
      </c>
      <c r="P303" s="3"/>
      <c r="Q303" s="3" t="s">
        <v>22</v>
      </c>
      <c r="R303">
        <f t="shared" si="4"/>
        <v>5</v>
      </c>
      <c r="S303" s="22" cm="1">
        <f t="array" ref="S303">_xlfn.IFS(Table1[[#This Row],[Coupon frequency]]="Semi-annual",2,Table1[[#This Row],[Coupon frequency]]="Quarterly",4,Table1[[#This Row],[Coupon frequency]]="Annual",1,Table1[[#This Row],[Coupon frequency]]="Every 4 months",3,Table1[[#This Row],[Coupon frequency]]="Monthly",12)</f>
        <v>1</v>
      </c>
      <c r="T303">
        <f>Table1[[#This Row],[Term to Maturity (Years)]]*Table1[[#This Row],[Coupon Frequency2]]</f>
        <v>5</v>
      </c>
      <c r="U303">
        <f>Table1[[#This Row],[Face value]]*Table1[[#This Row],[Current coupon %]]/Table1[[#This Row],[Coupon Frequency2]]</f>
        <v>97500</v>
      </c>
      <c r="V303" s="23">
        <f>RATE(Table1[[#This Row],[Total No. of Coupons]],Table1[[#This Row],[Coupon Amount]],-Table1[[#This Row],[Ask Price]],Table1[[#This Row],[Face value]])</f>
        <v>9.2327067126397599E-2</v>
      </c>
      <c r="W303" s="24">
        <f>Table1[[#This Row],[IRR]]*Table1[[#This Row],[Coupon Frequency2]]</f>
        <v>9.2327067126397599E-2</v>
      </c>
      <c r="X303" s="25" cm="1">
        <f t="array" ref="X30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3" s="26">
        <f>DURATION(Table1[[#This Row],[Issue date]],Table1[[#This Row],[Maturity date]],Table1[[#This Row],[Current coupon %]],Table1[[#This Row],[Yield (Annualised)]],Table1[[#This Row],[Coupon Frequency2]])</f>
        <v>4.3269495621992302</v>
      </c>
      <c r="Z303" s="26">
        <f>Table1[[#This Row],[Macaulay Duration in Years]]/(1+Table1[[#This Row],[IRR]])</f>
        <v>3.9612215905097052</v>
      </c>
      <c r="AA303" s="27">
        <f>VLOOKUP(Table1[[#This Row],[Yield Cluster]],'[1]Cluster Details'!$B$3:$C$16,2,0)</f>
        <v>7.8548801574189142E-2</v>
      </c>
      <c r="AB303" s="28">
        <f>PRICE(Table1[[#This Row],[Issue date]],Table1[[#This Row],[Maturity date]],Table1[[#This Row],[Current coupon %]],Table1[[#This Row],[Average Cluster Yield]],100,Table1[[#This Row],[Coupon Frequency2]])*Table1[[#This Row],[Face value]]/100</f>
        <v>1081135.3822302525</v>
      </c>
      <c r="AC303" s="27" t="str">
        <f>IF(Table1[[#This Row],[Ask Price]]&gt;Table1[[#This Row],[Calculated Bond Price]],"Rich","Cheap")</f>
        <v>Cheap</v>
      </c>
      <c r="AD303" s="28">
        <f>PRICE(Table1[[#This Row],[Issue date]],Table1[[#This Row],[Maturity date]],Table1[[#This Row],[Current coupon %]],Table1[[#This Row],[Yield (Annualised)]]+$AE$2,100,Table1[[#This Row],[Coupon Frequency2]])*Table1[[#This Row],[Face value]]/100</f>
        <v>979252.20069633785</v>
      </c>
      <c r="AE303" s="28">
        <f>PRICE(Table1[[#This Row],[Issue date]],Table1[[#This Row],[Maturity date]],Table1[[#This Row],[Current coupon %]],Table1[[#This Row],[Yield (Annualised)]]-$AE$2,100,Table1[[#This Row],[Coupon Frequency2]])*Table1[[#This Row],[Face value]]/100</f>
        <v>1064033.7952104118</v>
      </c>
      <c r="AF303" s="28">
        <f>(Table1[[#This Row],[P (+ shock)]]+Table1[[#This Row],[P (-shock)]]-2*Table1[[#This Row],[Ask Price]])/(2*Table1[[#This Row],[Ask Price]]*($AE$2^2))</f>
        <v>16.107823072302647</v>
      </c>
    </row>
    <row r="304" spans="1:32" x14ac:dyDescent="0.25">
      <c r="A304" s="21" t="s">
        <v>656</v>
      </c>
      <c r="B304" s="3" t="s">
        <v>657</v>
      </c>
      <c r="C304" s="3" t="s">
        <v>19</v>
      </c>
      <c r="D304" s="4">
        <v>45443</v>
      </c>
      <c r="E304" s="4">
        <v>46173</v>
      </c>
      <c r="F304" s="3">
        <v>1000</v>
      </c>
      <c r="G304" s="3" t="s">
        <v>20</v>
      </c>
      <c r="H304" s="3">
        <v>1010</v>
      </c>
      <c r="I304" s="3" t="s">
        <v>20</v>
      </c>
      <c r="J304" s="3">
        <v>101</v>
      </c>
      <c r="K304" s="3">
        <v>20</v>
      </c>
      <c r="L304" s="5">
        <v>9.6500000000000002E-2</v>
      </c>
      <c r="M304" s="3" t="s">
        <v>21</v>
      </c>
      <c r="N304" s="3">
        <v>256</v>
      </c>
      <c r="O304" s="6">
        <f>Table1[[#This Row],[Current coupon %]]*Table1[[#This Row],[Face value]]/Table1[[#This Row],[Ask Price]]</f>
        <v>9.5544554455445546E-2</v>
      </c>
      <c r="P304" s="3" t="s">
        <v>25</v>
      </c>
      <c r="Q304" s="3" t="s">
        <v>22</v>
      </c>
      <c r="R304">
        <f t="shared" si="4"/>
        <v>2</v>
      </c>
      <c r="S304" s="22" cm="1">
        <f t="array" ref="S304">_xlfn.IFS(Table1[[#This Row],[Coupon frequency]]="Semi-annual",2,Table1[[#This Row],[Coupon frequency]]="Quarterly",4,Table1[[#This Row],[Coupon frequency]]="Annual",1,Table1[[#This Row],[Coupon frequency]]="Every 4 months",3,Table1[[#This Row],[Coupon frequency]]="Monthly",12)</f>
        <v>1</v>
      </c>
      <c r="T304">
        <f>Table1[[#This Row],[Term to Maturity (Years)]]*Table1[[#This Row],[Coupon Frequency2]]</f>
        <v>2</v>
      </c>
      <c r="U304">
        <f>Table1[[#This Row],[Face value]]*Table1[[#This Row],[Current coupon %]]/Table1[[#This Row],[Coupon Frequency2]]</f>
        <v>96.5</v>
      </c>
      <c r="V304" s="23">
        <f>RATE(Table1[[#This Row],[Total No. of Coupons]],Table1[[#This Row],[Coupon Amount]],-Table1[[#This Row],[Ask Price]],Table1[[#This Row],[Face value]])</f>
        <v>9.0809071798248986E-2</v>
      </c>
      <c r="W304" s="24">
        <f>Table1[[#This Row],[IRR]]*Table1[[#This Row],[Coupon Frequency2]]</f>
        <v>9.0809071798248986E-2</v>
      </c>
      <c r="X304" s="25" cm="1">
        <f t="array" ref="X30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4" s="26">
        <f>DURATION(Table1[[#This Row],[Issue date]],Table1[[#This Row],[Maturity date]],Table1[[#This Row],[Current coupon %]],Table1[[#This Row],[Yield (Annualised)]],Table1[[#This Row],[Coupon Frequency2]])</f>
        <v>1.9124094610820059</v>
      </c>
      <c r="Z304" s="26">
        <f>Table1[[#This Row],[Macaulay Duration in Years]]/(1+Table1[[#This Row],[IRR]])</f>
        <v>1.7532027469567253</v>
      </c>
      <c r="AA304" s="27">
        <f>VLOOKUP(Table1[[#This Row],[Yield Cluster]],'[1]Cluster Details'!$B$3:$C$16,2,0)</f>
        <v>7.8548801574189142E-2</v>
      </c>
      <c r="AB304" s="28">
        <f>PRICE(Table1[[#This Row],[Issue date]],Table1[[#This Row],[Maturity date]],Table1[[#This Row],[Current coupon %]],Table1[[#This Row],[Average Cluster Yield]],100,Table1[[#This Row],[Coupon Frequency2]])*Table1[[#This Row],[Face value]]/100</f>
        <v>1032.0755470409078</v>
      </c>
      <c r="AC304" s="27" t="str">
        <f>IF(Table1[[#This Row],[Ask Price]]&gt;Table1[[#This Row],[Calculated Bond Price]],"Rich","Cheap")</f>
        <v>Cheap</v>
      </c>
      <c r="AD304" s="28">
        <f>PRICE(Table1[[#This Row],[Issue date]],Table1[[#This Row],[Maturity date]],Table1[[#This Row],[Current coupon %]],Table1[[#This Row],[Yield (Annualised)]]+$AE$2,100,Table1[[#This Row],[Coupon Frequency2]])*Table1[[#This Row],[Face value]]/100</f>
        <v>992.52955771778102</v>
      </c>
      <c r="AE304" s="28">
        <f>PRICE(Table1[[#This Row],[Issue date]],Table1[[#This Row],[Maturity date]],Table1[[#This Row],[Current coupon %]],Table1[[#This Row],[Yield (Annualised)]]-$AE$2,100,Table1[[#This Row],[Coupon Frequency2]])*Table1[[#This Row],[Face value]]/100</f>
        <v>1027.9500703408523</v>
      </c>
      <c r="AF304" s="28">
        <f>(Table1[[#This Row],[P (+ shock)]]+Table1[[#This Row],[P (-shock)]]-2*Table1[[#This Row],[Ask Price]])/(2*Table1[[#This Row],[Ask Price]]*($AE$2^2))</f>
        <v>2.3743963298680808</v>
      </c>
    </row>
    <row r="305" spans="1:32" x14ac:dyDescent="0.25">
      <c r="A305" s="21" t="s">
        <v>658</v>
      </c>
      <c r="B305" s="3" t="s">
        <v>659</v>
      </c>
      <c r="C305" s="3" t="s">
        <v>19</v>
      </c>
      <c r="D305" s="4">
        <v>43074</v>
      </c>
      <c r="E305" s="4">
        <v>46315</v>
      </c>
      <c r="F305" s="3">
        <v>1000000</v>
      </c>
      <c r="G305" s="3" t="s">
        <v>20</v>
      </c>
      <c r="H305" s="3">
        <v>1020500</v>
      </c>
      <c r="I305" s="3" t="s">
        <v>20</v>
      </c>
      <c r="J305" s="3">
        <v>102.05</v>
      </c>
      <c r="K305" s="3">
        <v>6</v>
      </c>
      <c r="L305" s="5">
        <v>9.7500000000000003E-2</v>
      </c>
      <c r="M305" s="3" t="s">
        <v>44</v>
      </c>
      <c r="N305" s="3">
        <v>398</v>
      </c>
      <c r="O305" s="6">
        <f>Table1[[#This Row],[Current coupon %]]*Table1[[#This Row],[Face value]]/Table1[[#This Row],[Ask Price]]</f>
        <v>9.5541401273885357E-2</v>
      </c>
      <c r="P305" s="3"/>
      <c r="Q305" s="3" t="s">
        <v>22</v>
      </c>
      <c r="R305">
        <f t="shared" si="4"/>
        <v>9</v>
      </c>
      <c r="S305" s="22" cm="1">
        <f t="array" ref="S305">_xlfn.IFS(Table1[[#This Row],[Coupon frequency]]="Semi-annual",2,Table1[[#This Row],[Coupon frequency]]="Quarterly",4,Table1[[#This Row],[Coupon frequency]]="Annual",1,Table1[[#This Row],[Coupon frequency]]="Every 4 months",3,Table1[[#This Row],[Coupon frequency]]="Monthly",12)</f>
        <v>4</v>
      </c>
      <c r="T305">
        <f>Table1[[#This Row],[Term to Maturity (Years)]]*Table1[[#This Row],[Coupon Frequency2]]</f>
        <v>36</v>
      </c>
      <c r="U305">
        <f>Table1[[#This Row],[Face value]]*Table1[[#This Row],[Current coupon %]]/Table1[[#This Row],[Coupon Frequency2]]</f>
        <v>24375</v>
      </c>
      <c r="V305" s="23">
        <f>RATE(Table1[[#This Row],[Total No. of Coupons]],Table1[[#This Row],[Coupon Amount]],-Table1[[#This Row],[Ask Price]],Table1[[#This Row],[Face value]])</f>
        <v>2.3524503725192339E-2</v>
      </c>
      <c r="W305" s="24">
        <f>Table1[[#This Row],[IRR]]*Table1[[#This Row],[Coupon Frequency2]]</f>
        <v>9.4098014900769356E-2</v>
      </c>
      <c r="X305" s="25" cm="1">
        <f t="array" ref="X30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5" s="26">
        <f>DURATION(Table1[[#This Row],[Issue date]],Table1[[#This Row],[Maturity date]],Table1[[#This Row],[Current coupon %]],Table1[[#This Row],[Yield (Annualised)]],Table1[[#This Row],[Coupon Frequency2]])</f>
        <v>5.9992037543546139</v>
      </c>
      <c r="Z305" s="26">
        <f>Table1[[#This Row],[Macaulay Duration in Years]]/(1+Table1[[#This Row],[IRR]])</f>
        <v>5.8613191306315313</v>
      </c>
      <c r="AA305" s="27">
        <f>VLOOKUP(Table1[[#This Row],[Yield Cluster]],'[1]Cluster Details'!$B$3:$C$16,2,0)</f>
        <v>7.8548801574189142E-2</v>
      </c>
      <c r="AB305" s="28">
        <f>PRICE(Table1[[#This Row],[Issue date]],Table1[[#This Row],[Maturity date]],Table1[[#This Row],[Current coupon %]],Table1[[#This Row],[Average Cluster Yield]],100,Table1[[#This Row],[Coupon Frequency2]])*Table1[[#This Row],[Face value]]/100</f>
        <v>1120237.8328533631</v>
      </c>
      <c r="AC305" s="27" t="str">
        <f>IF(Table1[[#This Row],[Ask Price]]&gt;Table1[[#This Row],[Calculated Bond Price]],"Rich","Cheap")</f>
        <v>Cheap</v>
      </c>
      <c r="AD305" s="28">
        <f>PRICE(Table1[[#This Row],[Issue date]],Table1[[#This Row],[Maturity date]],Table1[[#This Row],[Current coupon %]],Table1[[#This Row],[Yield (Annualised)]]+$AE$2,100,Table1[[#This Row],[Coupon Frequency2]])*Table1[[#This Row],[Face value]]/100</f>
        <v>961999.7640548374</v>
      </c>
      <c r="AE305" s="28">
        <f>PRICE(Table1[[#This Row],[Issue date]],Table1[[#This Row],[Maturity date]],Table1[[#This Row],[Current coupon %]],Table1[[#This Row],[Yield (Annualised)]]-$AE$2,100,Table1[[#This Row],[Coupon Frequency2]])*Table1[[#This Row],[Face value]]/100</f>
        <v>1083160.4361393189</v>
      </c>
      <c r="AF305" s="28">
        <f>(Table1[[#This Row],[P (+ shock)]]+Table1[[#This Row],[P (-shock)]]-2*Table1[[#This Row],[Ask Price]])/(2*Table1[[#This Row],[Ask Price]]*($AE$2^2))</f>
        <v>20.383146468183551</v>
      </c>
    </row>
    <row r="306" spans="1:32" x14ac:dyDescent="0.25">
      <c r="A306" s="21" t="s">
        <v>660</v>
      </c>
      <c r="B306" s="3" t="s">
        <v>661</v>
      </c>
      <c r="C306" s="3" t="s">
        <v>19</v>
      </c>
      <c r="D306" s="4">
        <v>44757</v>
      </c>
      <c r="E306" s="4">
        <v>46583</v>
      </c>
      <c r="F306" s="3">
        <v>1000</v>
      </c>
      <c r="G306" s="3" t="s">
        <v>20</v>
      </c>
      <c r="H306" s="3">
        <v>1000</v>
      </c>
      <c r="I306" s="3" t="s">
        <v>20</v>
      </c>
      <c r="J306" s="3">
        <v>100</v>
      </c>
      <c r="K306" s="3">
        <v>798</v>
      </c>
      <c r="L306" s="5">
        <v>9.5500000000000002E-2</v>
      </c>
      <c r="M306" s="3" t="s">
        <v>21</v>
      </c>
      <c r="N306" s="3">
        <v>666</v>
      </c>
      <c r="O306" s="6">
        <f>Table1[[#This Row],[Current coupon %]]*Table1[[#This Row],[Face value]]/Table1[[#This Row],[Ask Price]]</f>
        <v>9.5500000000000002E-2</v>
      </c>
      <c r="P306" s="3"/>
      <c r="Q306" s="3" t="s">
        <v>22</v>
      </c>
      <c r="R306">
        <f t="shared" si="4"/>
        <v>5</v>
      </c>
      <c r="S306" s="22" cm="1">
        <f t="array" ref="S306">_xlfn.IFS(Table1[[#This Row],[Coupon frequency]]="Semi-annual",2,Table1[[#This Row],[Coupon frequency]]="Quarterly",4,Table1[[#This Row],[Coupon frequency]]="Annual",1,Table1[[#This Row],[Coupon frequency]]="Every 4 months",3,Table1[[#This Row],[Coupon frequency]]="Monthly",12)</f>
        <v>1</v>
      </c>
      <c r="T306">
        <f>Table1[[#This Row],[Term to Maturity (Years)]]*Table1[[#This Row],[Coupon Frequency2]]</f>
        <v>5</v>
      </c>
      <c r="U306">
        <f>Table1[[#This Row],[Face value]]*Table1[[#This Row],[Current coupon %]]/Table1[[#This Row],[Coupon Frequency2]]</f>
        <v>95.5</v>
      </c>
      <c r="V306" s="23">
        <f>RATE(Table1[[#This Row],[Total No. of Coupons]],Table1[[#This Row],[Coupon Amount]],-Table1[[#This Row],[Ask Price]],Table1[[#This Row],[Face value]])</f>
        <v>9.5500000000000043E-2</v>
      </c>
      <c r="W306" s="24">
        <f>Table1[[#This Row],[IRR]]*Table1[[#This Row],[Coupon Frequency2]]</f>
        <v>9.5500000000000043E-2</v>
      </c>
      <c r="X306" s="25" cm="1">
        <f t="array" ref="X30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6" s="26">
        <f>DURATION(Table1[[#This Row],[Issue date]],Table1[[#This Row],[Maturity date]],Table1[[#This Row],[Current coupon %]],Table1[[#This Row],[Yield (Annualised)]],Table1[[#This Row],[Coupon Frequency2]])</f>
        <v>4.2009917578938412</v>
      </c>
      <c r="Z306" s="26">
        <f>Table1[[#This Row],[Macaulay Duration in Years]]/(1+Table1[[#This Row],[IRR]])</f>
        <v>3.8347711162883074</v>
      </c>
      <c r="AA306" s="27">
        <f>VLOOKUP(Table1[[#This Row],[Yield Cluster]],'[1]Cluster Details'!$B$3:$C$16,2,0)</f>
        <v>7.8548801574189142E-2</v>
      </c>
      <c r="AB306" s="28">
        <f>PRICE(Table1[[#This Row],[Issue date]],Table1[[#This Row],[Maturity date]],Table1[[#This Row],[Current coupon %]],Table1[[#This Row],[Average Cluster Yield]],100,Table1[[#This Row],[Coupon Frequency2]])*Table1[[#This Row],[Face value]]/100</f>
        <v>1067.9408802618509</v>
      </c>
      <c r="AC306" s="27" t="str">
        <f>IF(Table1[[#This Row],[Ask Price]]&gt;Table1[[#This Row],[Calculated Bond Price]],"Rich","Cheap")</f>
        <v>Cheap</v>
      </c>
      <c r="AD306" s="28">
        <f>PRICE(Table1[[#This Row],[Issue date]],Table1[[#This Row],[Maturity date]],Table1[[#This Row],[Current coupon %]],Table1[[#This Row],[Yield (Annualised)]]+$AE$2,100,Table1[[#This Row],[Coupon Frequency2]])*Table1[[#This Row],[Face value]]/100</f>
        <v>962.61881003515361</v>
      </c>
      <c r="AE306" s="28">
        <f>PRICE(Table1[[#This Row],[Issue date]],Table1[[#This Row],[Maturity date]],Table1[[#This Row],[Current coupon %]],Table1[[#This Row],[Yield (Annualised)]]-$AE$2,100,Table1[[#This Row],[Coupon Frequency2]])*Table1[[#This Row],[Face value]]/100</f>
        <v>1039.3549500865552</v>
      </c>
      <c r="AF306" s="28">
        <f>(Table1[[#This Row],[P (+ shock)]]+Table1[[#This Row],[P (-shock)]]-2*Table1[[#This Row],[Ask Price]])/(2*Table1[[#This Row],[Ask Price]]*($AE$2^2))</f>
        <v>9.8688006085444613</v>
      </c>
    </row>
    <row r="307" spans="1:32" x14ac:dyDescent="0.25">
      <c r="A307" s="21" t="s">
        <v>662</v>
      </c>
      <c r="B307" s="3" t="s">
        <v>663</v>
      </c>
      <c r="C307" s="3" t="s">
        <v>19</v>
      </c>
      <c r="D307" s="4">
        <v>45161</v>
      </c>
      <c r="E307" s="4">
        <v>48814</v>
      </c>
      <c r="F307" s="3">
        <v>100000</v>
      </c>
      <c r="G307" s="3" t="s">
        <v>20</v>
      </c>
      <c r="H307" s="3">
        <v>99000</v>
      </c>
      <c r="I307" s="3" t="s">
        <v>20</v>
      </c>
      <c r="J307" s="3">
        <v>99</v>
      </c>
      <c r="K307" s="3">
        <v>2</v>
      </c>
      <c r="L307" s="5">
        <v>9.4499999999999987E-2</v>
      </c>
      <c r="M307" s="3" t="s">
        <v>21</v>
      </c>
      <c r="N307" s="3">
        <v>2897</v>
      </c>
      <c r="O307" s="6">
        <f>Table1[[#This Row],[Current coupon %]]*Table1[[#This Row],[Face value]]/Table1[[#This Row],[Ask Price]]</f>
        <v>9.5454545454545431E-2</v>
      </c>
      <c r="P307" s="3"/>
      <c r="Q307" s="3" t="s">
        <v>22</v>
      </c>
      <c r="R307">
        <f t="shared" si="4"/>
        <v>10</v>
      </c>
      <c r="S307" s="22" cm="1">
        <f t="array" ref="S307">_xlfn.IFS(Table1[[#This Row],[Coupon frequency]]="Semi-annual",2,Table1[[#This Row],[Coupon frequency]]="Quarterly",4,Table1[[#This Row],[Coupon frequency]]="Annual",1,Table1[[#This Row],[Coupon frequency]]="Every 4 months",3,Table1[[#This Row],[Coupon frequency]]="Monthly",12)</f>
        <v>1</v>
      </c>
      <c r="T307">
        <f>Table1[[#This Row],[Term to Maturity (Years)]]*Table1[[#This Row],[Coupon Frequency2]]</f>
        <v>10</v>
      </c>
      <c r="U307">
        <f>Table1[[#This Row],[Face value]]*Table1[[#This Row],[Current coupon %]]/Table1[[#This Row],[Coupon Frequency2]]</f>
        <v>9449.9999999999982</v>
      </c>
      <c r="V307" s="23">
        <f>RATE(Table1[[#This Row],[Total No. of Coupons]],Table1[[#This Row],[Coupon Amount]],-Table1[[#This Row],[Ask Price]],Table1[[#This Row],[Face value]])</f>
        <v>9.6100289565223249E-2</v>
      </c>
      <c r="W307" s="24">
        <f>Table1[[#This Row],[IRR]]*Table1[[#This Row],[Coupon Frequency2]]</f>
        <v>9.6100289565223249E-2</v>
      </c>
      <c r="X307" s="25" cm="1">
        <f t="array" ref="X30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7" s="26">
        <f>DURATION(Table1[[#This Row],[Issue date]],Table1[[#This Row],[Maturity date]],Table1[[#This Row],[Current coupon %]],Table1[[#This Row],[Yield (Annualised)]],Table1[[#This Row],[Coupon Frequency2]])</f>
        <v>6.8705577036632972</v>
      </c>
      <c r="Z307" s="26">
        <f>Table1[[#This Row],[Macaulay Duration in Years]]/(1+Table1[[#This Row],[IRR]])</f>
        <v>6.2681834582751161</v>
      </c>
      <c r="AA307" s="27">
        <f>VLOOKUP(Table1[[#This Row],[Yield Cluster]],'[1]Cluster Details'!$B$3:$C$16,2,0)</f>
        <v>7.8548801574189142E-2</v>
      </c>
      <c r="AB307" s="28">
        <f>PRICE(Table1[[#This Row],[Issue date]],Table1[[#This Row],[Maturity date]],Table1[[#This Row],[Current coupon %]],Table1[[#This Row],[Average Cluster Yield]],100,Table1[[#This Row],[Coupon Frequency2]])*Table1[[#This Row],[Face value]]/100</f>
        <v>110773.79924900405</v>
      </c>
      <c r="AC307" s="27" t="str">
        <f>IF(Table1[[#This Row],[Ask Price]]&gt;Table1[[#This Row],[Calculated Bond Price]],"Rich","Cheap")</f>
        <v>Cheap</v>
      </c>
      <c r="AD307" s="28">
        <f>PRICE(Table1[[#This Row],[Issue date]],Table1[[#This Row],[Maturity date]],Table1[[#This Row],[Current coupon %]],Table1[[#This Row],[Yield (Annualised)]]+$AE$2,100,Table1[[#This Row],[Coupon Frequency2]])*Table1[[#This Row],[Face value]]/100</f>
        <v>93055.152923026501</v>
      </c>
      <c r="AE307" s="28">
        <f>PRICE(Table1[[#This Row],[Issue date]],Table1[[#This Row],[Maturity date]],Table1[[#This Row],[Current coupon %]],Table1[[#This Row],[Yield (Annualised)]]-$AE$2,100,Table1[[#This Row],[Coupon Frequency2]])*Table1[[#This Row],[Face value]]/100</f>
        <v>105484.425171226</v>
      </c>
      <c r="AF307" s="28">
        <f>(Table1[[#This Row],[P (+ shock)]]+Table1[[#This Row],[P (-shock)]]-2*Table1[[#This Row],[Ask Price]])/(2*Table1[[#This Row],[Ask Price]]*($AE$2^2))</f>
        <v>27.251418901641493</v>
      </c>
    </row>
    <row r="308" spans="1:32" x14ac:dyDescent="0.25">
      <c r="A308" s="21" t="s">
        <v>93</v>
      </c>
      <c r="B308" s="3" t="s">
        <v>94</v>
      </c>
      <c r="C308" s="3" t="s">
        <v>19</v>
      </c>
      <c r="D308" s="4">
        <v>45364</v>
      </c>
      <c r="E308" s="4">
        <v>46186</v>
      </c>
      <c r="F308" s="3">
        <v>1000</v>
      </c>
      <c r="G308" s="3" t="s">
        <v>20</v>
      </c>
      <c r="H308" s="3">
        <v>1035.3499999999999</v>
      </c>
      <c r="I308" s="3" t="s">
        <v>20</v>
      </c>
      <c r="J308" s="3">
        <v>103.535</v>
      </c>
      <c r="K308" s="3">
        <v>25</v>
      </c>
      <c r="L308" s="5">
        <v>0.109</v>
      </c>
      <c r="M308" s="3" t="s">
        <v>21</v>
      </c>
      <c r="N308" s="3">
        <v>269</v>
      </c>
      <c r="O308" s="6">
        <f>Table1[[#This Row],[Current coupon %]]*Table1[[#This Row],[Face value]]/Table1[[#This Row],[Ask Price]]</f>
        <v>0.10527840826773556</v>
      </c>
      <c r="P308" s="3"/>
      <c r="Q308" s="3" t="s">
        <v>22</v>
      </c>
      <c r="R308">
        <f t="shared" si="4"/>
        <v>2</v>
      </c>
      <c r="S308" s="22" cm="1">
        <f t="array" ref="S308">_xlfn.IFS(Table1[[#This Row],[Coupon frequency]]="Semi-annual",2,Table1[[#This Row],[Coupon frequency]]="Quarterly",4,Table1[[#This Row],[Coupon frequency]]="Annual",1,Table1[[#This Row],[Coupon frequency]]="Every 4 months",3,Table1[[#This Row],[Coupon frequency]]="Monthly",12)</f>
        <v>1</v>
      </c>
      <c r="T308">
        <f>Table1[[#This Row],[Term to Maturity (Years)]]*Table1[[#This Row],[Coupon Frequency2]]</f>
        <v>2</v>
      </c>
      <c r="U308">
        <f>Table1[[#This Row],[Face value]]*Table1[[#This Row],[Current coupon %]]/Table1[[#This Row],[Coupon Frequency2]]</f>
        <v>109</v>
      </c>
      <c r="V308" s="23">
        <f>RATE(Table1[[#This Row],[Total No. of Coupons]],Table1[[#This Row],[Coupon Amount]],-Table1[[#This Row],[Ask Price]],Table1[[#This Row],[Face value]])</f>
        <v>8.893368480252041E-2</v>
      </c>
      <c r="W308" s="24">
        <f>Table1[[#This Row],[IRR]]*Table1[[#This Row],[Coupon Frequency2]]</f>
        <v>8.893368480252041E-2</v>
      </c>
      <c r="X308" s="25" cm="1">
        <f t="array" ref="X30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8" s="26">
        <f>DURATION(Table1[[#This Row],[Issue date]],Table1[[#This Row],[Maturity date]],Table1[[#This Row],[Current coupon %]],Table1[[#This Row],[Yield (Annualised)]],Table1[[#This Row],[Coupon Frequency2]])</f>
        <v>1.9720274191659619</v>
      </c>
      <c r="Z308" s="26">
        <f>Table1[[#This Row],[Macaulay Duration in Years]]/(1+Table1[[#This Row],[IRR]])</f>
        <v>1.8109710873014198</v>
      </c>
      <c r="AA308" s="27">
        <f>VLOOKUP(Table1[[#This Row],[Yield Cluster]],'[1]Cluster Details'!$B$3:$C$16,2,0)</f>
        <v>7.8548801574189142E-2</v>
      </c>
      <c r="AB308" s="28">
        <f>PRICE(Table1[[#This Row],[Issue date]],Table1[[#This Row],[Maturity date]],Table1[[#This Row],[Current coupon %]],Table1[[#This Row],[Average Cluster Yield]],100,Table1[[#This Row],[Coupon Frequency2]])*Table1[[#This Row],[Face value]]/100</f>
        <v>1059.8741211856423</v>
      </c>
      <c r="AC308" s="27" t="str">
        <f>IF(Table1[[#This Row],[Ask Price]]&gt;Table1[[#This Row],[Calculated Bond Price]],"Rich","Cheap")</f>
        <v>Cheap</v>
      </c>
      <c r="AD308" s="28">
        <f>PRICE(Table1[[#This Row],[Issue date]],Table1[[#This Row],[Maturity date]],Table1[[#This Row],[Current coupon %]],Table1[[#This Row],[Yield (Annualised)]]+$AE$2,100,Table1[[#This Row],[Coupon Frequency2]])*Table1[[#This Row],[Face value]]/100</f>
        <v>1018.487867955846</v>
      </c>
      <c r="AE308" s="28">
        <f>PRICE(Table1[[#This Row],[Issue date]],Table1[[#This Row],[Maturity date]],Table1[[#This Row],[Current coupon %]],Table1[[#This Row],[Yield (Annualised)]]-$AE$2,100,Table1[[#This Row],[Coupon Frequency2]])*Table1[[#This Row],[Face value]]/100</f>
        <v>1059.0696707014688</v>
      </c>
      <c r="AF308" s="28">
        <f>(Table1[[#This Row],[P (+ shock)]]+Table1[[#This Row],[P (-shock)]]-2*Table1[[#This Row],[Ask Price]])/(2*Table1[[#This Row],[Ask Price]]*($AE$2^2))</f>
        <v>33.117007086080854</v>
      </c>
    </row>
    <row r="309" spans="1:32" x14ac:dyDescent="0.25">
      <c r="A309" s="21" t="s">
        <v>664</v>
      </c>
      <c r="B309" s="3" t="s">
        <v>665</v>
      </c>
      <c r="C309" s="3" t="s">
        <v>19</v>
      </c>
      <c r="D309" s="4">
        <v>44726</v>
      </c>
      <c r="E309" s="4">
        <v>46538</v>
      </c>
      <c r="F309" s="3">
        <v>1000000</v>
      </c>
      <c r="G309" s="3" t="s">
        <v>20</v>
      </c>
      <c r="H309" s="3">
        <v>1008000</v>
      </c>
      <c r="I309" s="3" t="s">
        <v>20</v>
      </c>
      <c r="J309" s="3">
        <v>100.8</v>
      </c>
      <c r="K309" s="3">
        <v>2</v>
      </c>
      <c r="L309" s="5">
        <v>9.6199999999999994E-2</v>
      </c>
      <c r="M309" s="3" t="s">
        <v>44</v>
      </c>
      <c r="N309" s="3">
        <v>621</v>
      </c>
      <c r="O309" s="6">
        <f>Table1[[#This Row],[Current coupon %]]*Table1[[#This Row],[Face value]]/Table1[[#This Row],[Ask Price]]</f>
        <v>9.5436507936507931E-2</v>
      </c>
      <c r="P309" s="3"/>
      <c r="Q309" s="3" t="s">
        <v>22</v>
      </c>
      <c r="R309">
        <f t="shared" si="4"/>
        <v>5</v>
      </c>
      <c r="S309" s="22" cm="1">
        <f t="array" ref="S309">_xlfn.IFS(Table1[[#This Row],[Coupon frequency]]="Semi-annual",2,Table1[[#This Row],[Coupon frequency]]="Quarterly",4,Table1[[#This Row],[Coupon frequency]]="Annual",1,Table1[[#This Row],[Coupon frequency]]="Every 4 months",3,Table1[[#This Row],[Coupon frequency]]="Monthly",12)</f>
        <v>4</v>
      </c>
      <c r="T309">
        <f>Table1[[#This Row],[Term to Maturity (Years)]]*Table1[[#This Row],[Coupon Frequency2]]</f>
        <v>20</v>
      </c>
      <c r="U309">
        <f>Table1[[#This Row],[Face value]]*Table1[[#This Row],[Current coupon %]]/Table1[[#This Row],[Coupon Frequency2]]</f>
        <v>24050</v>
      </c>
      <c r="V309" s="23">
        <f>RATE(Table1[[#This Row],[Total No. of Coupons]],Table1[[#This Row],[Coupon Amount]],-Table1[[#This Row],[Ask Price]],Table1[[#This Row],[Face value]])</f>
        <v>2.3543855130484102E-2</v>
      </c>
      <c r="W309" s="24">
        <f>Table1[[#This Row],[IRR]]*Table1[[#This Row],[Coupon Frequency2]]</f>
        <v>9.4175420521936407E-2</v>
      </c>
      <c r="X309" s="25" cm="1">
        <f t="array" ref="X30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09" s="26">
        <f>DURATION(Table1[[#This Row],[Issue date]],Table1[[#This Row],[Maturity date]],Table1[[#This Row],[Current coupon %]],Table1[[#This Row],[Yield (Annualised)]],Table1[[#This Row],[Coupon Frequency2]])</f>
        <v>3.9927857072101816</v>
      </c>
      <c r="Z309" s="26">
        <f>Table1[[#This Row],[Macaulay Duration in Years]]/(1+Table1[[#This Row],[IRR]])</f>
        <v>3.9009424825291639</v>
      </c>
      <c r="AA309" s="27">
        <f>VLOOKUP(Table1[[#This Row],[Yield Cluster]],'[1]Cluster Details'!$B$3:$C$16,2,0)</f>
        <v>7.8548801574189142E-2</v>
      </c>
      <c r="AB309" s="28">
        <f>PRICE(Table1[[#This Row],[Issue date]],Table1[[#This Row],[Maturity date]],Table1[[#This Row],[Current coupon %]],Table1[[#This Row],[Average Cluster Yield]],100,Table1[[#This Row],[Coupon Frequency2]])*Table1[[#This Row],[Face value]]/100</f>
        <v>1071916.7752816521</v>
      </c>
      <c r="AC309" s="27" t="str">
        <f>IF(Table1[[#This Row],[Ask Price]]&gt;Table1[[#This Row],[Calculated Bond Price]],"Rich","Cheap")</f>
        <v>Cheap</v>
      </c>
      <c r="AD309" s="28">
        <f>PRICE(Table1[[#This Row],[Issue date]],Table1[[#This Row],[Maturity date]],Table1[[#This Row],[Current coupon %]],Table1[[#This Row],[Yield (Annualised)]]+$AE$2,100,Table1[[#This Row],[Coupon Frequency2]])*Table1[[#This Row],[Face value]]/100</f>
        <v>969364.73656739283</v>
      </c>
      <c r="AE309" s="28">
        <f>PRICE(Table1[[#This Row],[Issue date]],Table1[[#This Row],[Maturity date]],Table1[[#This Row],[Current coupon %]],Table1[[#This Row],[Yield (Annualised)]]-$AE$2,100,Table1[[#This Row],[Coupon Frequency2]])*Table1[[#This Row],[Face value]]/100</f>
        <v>1048324.7569138883</v>
      </c>
      <c r="AF309" s="28">
        <f>(Table1[[#This Row],[P (+ shock)]]+Table1[[#This Row],[P (-shock)]]-2*Table1[[#This Row],[Ask Price]])/(2*Table1[[#This Row],[Ask Price]]*($AE$2^2))</f>
        <v>8.3804240142917319</v>
      </c>
    </row>
    <row r="310" spans="1:32" x14ac:dyDescent="0.25">
      <c r="A310" s="21" t="s">
        <v>666</v>
      </c>
      <c r="B310" s="3" t="s">
        <v>667</v>
      </c>
      <c r="C310" s="3" t="s">
        <v>19</v>
      </c>
      <c r="D310" s="4">
        <v>41390</v>
      </c>
      <c r="E310" s="4">
        <v>46869</v>
      </c>
      <c r="F310" s="3">
        <v>1000000</v>
      </c>
      <c r="G310" s="3" t="s">
        <v>20</v>
      </c>
      <c r="H310" s="3">
        <v>1022000</v>
      </c>
      <c r="I310" s="3" t="s">
        <v>20</v>
      </c>
      <c r="J310" s="3">
        <v>102.2</v>
      </c>
      <c r="K310" s="3">
        <v>1</v>
      </c>
      <c r="L310" s="5">
        <v>9.7500000000000003E-2</v>
      </c>
      <c r="M310" s="3" t="s">
        <v>21</v>
      </c>
      <c r="N310" s="3">
        <v>952</v>
      </c>
      <c r="O310" s="6">
        <f>Table1[[#This Row],[Current coupon %]]*Table1[[#This Row],[Face value]]/Table1[[#This Row],[Ask Price]]</f>
        <v>9.5401174168297451E-2</v>
      </c>
      <c r="P310" s="3"/>
      <c r="Q310" s="3" t="s">
        <v>22</v>
      </c>
      <c r="R310">
        <f t="shared" si="4"/>
        <v>15</v>
      </c>
      <c r="S310" s="22" cm="1">
        <f t="array" ref="S310">_xlfn.IFS(Table1[[#This Row],[Coupon frequency]]="Semi-annual",2,Table1[[#This Row],[Coupon frequency]]="Quarterly",4,Table1[[#This Row],[Coupon frequency]]="Annual",1,Table1[[#This Row],[Coupon frequency]]="Every 4 months",3,Table1[[#This Row],[Coupon frequency]]="Monthly",12)</f>
        <v>1</v>
      </c>
      <c r="T310">
        <f>Table1[[#This Row],[Term to Maturity (Years)]]*Table1[[#This Row],[Coupon Frequency2]]</f>
        <v>15</v>
      </c>
      <c r="U310">
        <f>Table1[[#This Row],[Face value]]*Table1[[#This Row],[Current coupon %]]/Table1[[#This Row],[Coupon Frequency2]]</f>
        <v>97500</v>
      </c>
      <c r="V310" s="23">
        <f>RATE(Table1[[#This Row],[Total No. of Coupons]],Table1[[#This Row],[Coupon Amount]],-Table1[[#This Row],[Ask Price]],Table1[[#This Row],[Face value]])</f>
        <v>9.4694618717003951E-2</v>
      </c>
      <c r="W310" s="24">
        <f>Table1[[#This Row],[IRR]]*Table1[[#This Row],[Coupon Frequency2]]</f>
        <v>9.4694618717003951E-2</v>
      </c>
      <c r="X310" s="25" cm="1">
        <f t="array" ref="X3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0" s="26">
        <f>DURATION(Table1[[#This Row],[Issue date]],Table1[[#This Row],[Maturity date]],Table1[[#This Row],[Current coupon %]],Table1[[#This Row],[Yield (Annualised)]],Table1[[#This Row],[Coupon Frequency2]])</f>
        <v>8.5368058457190017</v>
      </c>
      <c r="Z310" s="26">
        <f>Table1[[#This Row],[Macaulay Duration in Years]]/(1+Table1[[#This Row],[IRR]])</f>
        <v>7.7983445791706254</v>
      </c>
      <c r="AA310" s="27">
        <f>VLOOKUP(Table1[[#This Row],[Yield Cluster]],'[1]Cluster Details'!$B$3:$C$16,2,0)</f>
        <v>7.8548801574189142E-2</v>
      </c>
      <c r="AB310" s="28">
        <f>PRICE(Table1[[#This Row],[Issue date]],Table1[[#This Row],[Maturity date]],Table1[[#This Row],[Current coupon %]],Table1[[#This Row],[Average Cluster Yield]],100,Table1[[#This Row],[Coupon Frequency2]])*Table1[[#This Row],[Face value]]/100</f>
        <v>1163659.6917991289</v>
      </c>
      <c r="AC310" s="27" t="str">
        <f>IF(Table1[[#This Row],[Ask Price]]&gt;Table1[[#This Row],[Calculated Bond Price]],"Rich","Cheap")</f>
        <v>Cheap</v>
      </c>
      <c r="AD310" s="28">
        <f>PRICE(Table1[[#This Row],[Issue date]],Table1[[#This Row],[Maturity date]],Table1[[#This Row],[Current coupon %]],Table1[[#This Row],[Yield (Annualised)]]+$AE$2,100,Table1[[#This Row],[Coupon Frequency2]])*Table1[[#This Row],[Face value]]/100</f>
        <v>946712.93874335149</v>
      </c>
      <c r="AE310" s="28">
        <f>PRICE(Table1[[#This Row],[Issue date]],Table1[[#This Row],[Maturity date]],Table1[[#This Row],[Current coupon %]],Table1[[#This Row],[Yield (Annualised)]]-$AE$2,100,Table1[[#This Row],[Coupon Frequency2]])*Table1[[#This Row],[Face value]]/100</f>
        <v>1106534.1594473538</v>
      </c>
      <c r="AF310" s="28">
        <f>(Table1[[#This Row],[P (+ shock)]]+Table1[[#This Row],[P (-shock)]]-2*Table1[[#This Row],[Ask Price]])/(2*Table1[[#This Row],[Ask Price]]*($AE$2^2))</f>
        <v>45.240206412452501</v>
      </c>
    </row>
    <row r="311" spans="1:32" x14ac:dyDescent="0.25">
      <c r="A311" s="21" t="s">
        <v>668</v>
      </c>
      <c r="B311" s="3" t="s">
        <v>669</v>
      </c>
      <c r="C311" s="3" t="s">
        <v>19</v>
      </c>
      <c r="D311" s="4">
        <v>44916</v>
      </c>
      <c r="E311" s="4">
        <v>46721</v>
      </c>
      <c r="F311" s="3">
        <v>1000000</v>
      </c>
      <c r="G311" s="3" t="s">
        <v>20</v>
      </c>
      <c r="H311" s="3">
        <v>1010000</v>
      </c>
      <c r="I311" s="3" t="s">
        <v>20</v>
      </c>
      <c r="J311" s="3">
        <v>101</v>
      </c>
      <c r="K311" s="3">
        <v>1</v>
      </c>
      <c r="L311" s="5">
        <v>9.6199999999999994E-2</v>
      </c>
      <c r="M311" s="3" t="s">
        <v>44</v>
      </c>
      <c r="N311" s="3">
        <v>804</v>
      </c>
      <c r="O311" s="6">
        <f>Table1[[#This Row],[Current coupon %]]*Table1[[#This Row],[Face value]]/Table1[[#This Row],[Ask Price]]</f>
        <v>9.5247524752475249E-2</v>
      </c>
      <c r="P311" s="3"/>
      <c r="Q311" s="3" t="s">
        <v>22</v>
      </c>
      <c r="R311">
        <f t="shared" si="4"/>
        <v>5</v>
      </c>
      <c r="S311" s="22" cm="1">
        <f t="array" ref="S311">_xlfn.IFS(Table1[[#This Row],[Coupon frequency]]="Semi-annual",2,Table1[[#This Row],[Coupon frequency]]="Quarterly",4,Table1[[#This Row],[Coupon frequency]]="Annual",1,Table1[[#This Row],[Coupon frequency]]="Every 4 months",3,Table1[[#This Row],[Coupon frequency]]="Monthly",12)</f>
        <v>4</v>
      </c>
      <c r="T311">
        <f>Table1[[#This Row],[Term to Maturity (Years)]]*Table1[[#This Row],[Coupon Frequency2]]</f>
        <v>20</v>
      </c>
      <c r="U311">
        <f>Table1[[#This Row],[Face value]]*Table1[[#This Row],[Current coupon %]]/Table1[[#This Row],[Coupon Frequency2]]</f>
        <v>24050</v>
      </c>
      <c r="V311" s="23">
        <f>RATE(Table1[[#This Row],[Total No. of Coupons]],Table1[[#This Row],[Coupon Amount]],-Table1[[#This Row],[Ask Price]],Table1[[#This Row],[Face value]])</f>
        <v>2.3418075078473075E-2</v>
      </c>
      <c r="W311" s="24">
        <f>Table1[[#This Row],[IRR]]*Table1[[#This Row],[Coupon Frequency2]]</f>
        <v>9.3672300313892301E-2</v>
      </c>
      <c r="X311" s="25" cm="1">
        <f t="array" ref="X3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1" s="26">
        <f>DURATION(Table1[[#This Row],[Issue date]],Table1[[#This Row],[Maturity date]],Table1[[#This Row],[Current coupon %]],Table1[[#This Row],[Yield (Annualised)]],Table1[[#This Row],[Coupon Frequency2]])</f>
        <v>3.9744831456422602</v>
      </c>
      <c r="Z311" s="26">
        <f>Table1[[#This Row],[Macaulay Duration in Years]]/(1+Table1[[#This Row],[IRR]])</f>
        <v>3.8835381574998142</v>
      </c>
      <c r="AA311" s="27">
        <f>VLOOKUP(Table1[[#This Row],[Yield Cluster]],'[1]Cluster Details'!$B$3:$C$16,2,0)</f>
        <v>7.8548801574189142E-2</v>
      </c>
      <c r="AB311" s="28">
        <f>PRICE(Table1[[#This Row],[Issue date]],Table1[[#This Row],[Maturity date]],Table1[[#This Row],[Current coupon %]],Table1[[#This Row],[Average Cluster Yield]],100,Table1[[#This Row],[Coupon Frequency2]])*Table1[[#This Row],[Face value]]/100</f>
        <v>1071674.4209361048</v>
      </c>
      <c r="AC311" s="27" t="str">
        <f>IF(Table1[[#This Row],[Ask Price]]&gt;Table1[[#This Row],[Calculated Bond Price]],"Rich","Cheap")</f>
        <v>Cheap</v>
      </c>
      <c r="AD311" s="28">
        <f>PRICE(Table1[[#This Row],[Issue date]],Table1[[#This Row],[Maturity date]],Table1[[#This Row],[Current coupon %]],Table1[[#This Row],[Yield (Annualised)]]+$AE$2,100,Table1[[#This Row],[Coupon Frequency2]])*Table1[[#This Row],[Face value]]/100</f>
        <v>971333.05432720203</v>
      </c>
      <c r="AE311" s="28">
        <f>PRICE(Table1[[#This Row],[Issue date]],Table1[[#This Row],[Maturity date]],Table1[[#This Row],[Current coupon %]],Table1[[#This Row],[Yield (Annualised)]]-$AE$2,100,Table1[[#This Row],[Coupon Frequency2]])*Table1[[#This Row],[Face value]]/100</f>
        <v>1050236.977452931</v>
      </c>
      <c r="AF311" s="28">
        <f>(Table1[[#This Row],[P (+ shock)]]+Table1[[#This Row],[P (-shock)]]-2*Table1[[#This Row],[Ask Price]])/(2*Table1[[#This Row],[Ask Price]]*($AE$2^2))</f>
        <v>7.7724345551139793</v>
      </c>
    </row>
    <row r="312" spans="1:32" x14ac:dyDescent="0.25">
      <c r="A312" s="21" t="s">
        <v>670</v>
      </c>
      <c r="B312" s="3" t="s">
        <v>671</v>
      </c>
      <c r="C312" s="3" t="s">
        <v>19</v>
      </c>
      <c r="D312" s="4">
        <v>45352</v>
      </c>
      <c r="E312" s="4">
        <v>46447</v>
      </c>
      <c r="F312" s="3">
        <v>1000</v>
      </c>
      <c r="G312" s="3" t="s">
        <v>20</v>
      </c>
      <c r="H312" s="3">
        <v>1030.06</v>
      </c>
      <c r="I312" s="3" t="s">
        <v>20</v>
      </c>
      <c r="J312" s="3">
        <v>103.006</v>
      </c>
      <c r="K312" s="3">
        <v>50</v>
      </c>
      <c r="L312" s="5">
        <v>0.1</v>
      </c>
      <c r="M312" s="3" t="s">
        <v>21</v>
      </c>
      <c r="N312" s="3">
        <v>530</v>
      </c>
      <c r="O312" s="6">
        <f>Table1[[#This Row],[Current coupon %]]*Table1[[#This Row],[Face value]]/Table1[[#This Row],[Ask Price]]</f>
        <v>9.7081723394753711E-2</v>
      </c>
      <c r="P312" s="3"/>
      <c r="Q312" s="3" t="s">
        <v>22</v>
      </c>
      <c r="R312">
        <f t="shared" si="4"/>
        <v>3</v>
      </c>
      <c r="S312" s="22" cm="1">
        <f t="array" ref="S312">_xlfn.IFS(Table1[[#This Row],[Coupon frequency]]="Semi-annual",2,Table1[[#This Row],[Coupon frequency]]="Quarterly",4,Table1[[#This Row],[Coupon frequency]]="Annual",1,Table1[[#This Row],[Coupon frequency]]="Every 4 months",3,Table1[[#This Row],[Coupon frequency]]="Monthly",12)</f>
        <v>1</v>
      </c>
      <c r="T312">
        <f>Table1[[#This Row],[Term to Maturity (Years)]]*Table1[[#This Row],[Coupon Frequency2]]</f>
        <v>3</v>
      </c>
      <c r="U312">
        <f>Table1[[#This Row],[Face value]]*Table1[[#This Row],[Current coupon %]]/Table1[[#This Row],[Coupon Frequency2]]</f>
        <v>100</v>
      </c>
      <c r="V312" s="23">
        <f>RATE(Table1[[#This Row],[Total No. of Coupons]],Table1[[#This Row],[Coupon Amount]],-Table1[[#This Row],[Ask Price]],Table1[[#This Row],[Face value]])</f>
        <v>8.8163502801460625E-2</v>
      </c>
      <c r="W312" s="24">
        <f>Table1[[#This Row],[IRR]]*Table1[[#This Row],[Coupon Frequency2]]</f>
        <v>8.8163502801460625E-2</v>
      </c>
      <c r="X312" s="25" cm="1">
        <f t="array" ref="X3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2" s="26">
        <f>DURATION(Table1[[#This Row],[Issue date]],Table1[[#This Row],[Maturity date]],Table1[[#This Row],[Current coupon %]],Table1[[#This Row],[Yield (Annualised)]],Table1[[#This Row],[Coupon Frequency2]])</f>
        <v>2.7395799767300497</v>
      </c>
      <c r="Z312" s="26">
        <f>Table1[[#This Row],[Macaulay Duration in Years]]/(1+Table1[[#This Row],[IRR]])</f>
        <v>2.5176179587691023</v>
      </c>
      <c r="AA312" s="27">
        <f>VLOOKUP(Table1[[#This Row],[Yield Cluster]],'[1]Cluster Details'!$B$3:$C$16,2,0)</f>
        <v>7.8548801574189142E-2</v>
      </c>
      <c r="AB312" s="28">
        <f>PRICE(Table1[[#This Row],[Issue date]],Table1[[#This Row],[Maturity date]],Table1[[#This Row],[Current coupon %]],Table1[[#This Row],[Average Cluster Yield]],100,Table1[[#This Row],[Coupon Frequency2]])*Table1[[#This Row],[Face value]]/100</f>
        <v>1055.4268965673293</v>
      </c>
      <c r="AC312" s="27" t="str">
        <f>IF(Table1[[#This Row],[Ask Price]]&gt;Table1[[#This Row],[Calculated Bond Price]],"Rich","Cheap")</f>
        <v>Cheap</v>
      </c>
      <c r="AD312" s="28">
        <f>PRICE(Table1[[#This Row],[Issue date]],Table1[[#This Row],[Maturity date]],Table1[[#This Row],[Current coupon %]],Table1[[#This Row],[Yield (Annualised)]]+$AE$2,100,Table1[[#This Row],[Coupon Frequency2]])*Table1[[#This Row],[Face value]]/100</f>
        <v>1004.5819034051907</v>
      </c>
      <c r="AE312" s="28">
        <f>PRICE(Table1[[#This Row],[Issue date]],Table1[[#This Row],[Maturity date]],Table1[[#This Row],[Current coupon %]],Table1[[#This Row],[Yield (Annualised)]]-$AE$2,100,Table1[[#This Row],[Coupon Frequency2]])*Table1[[#This Row],[Face value]]/100</f>
        <v>1056.4617751952521</v>
      </c>
      <c r="AF312" s="28">
        <f>(Table1[[#This Row],[P (+ shock)]]+Table1[[#This Row],[P (-shock)]]-2*Table1[[#This Row],[Ask Price]])/(2*Table1[[#This Row],[Ask Price]]*($AE$2^2))</f>
        <v>4.4836155196932905</v>
      </c>
    </row>
    <row r="313" spans="1:32" x14ac:dyDescent="0.25">
      <c r="A313" s="21" t="s">
        <v>672</v>
      </c>
      <c r="B313" s="3" t="s">
        <v>673</v>
      </c>
      <c r="C313" s="3" t="s">
        <v>19</v>
      </c>
      <c r="D313" s="4">
        <v>43906</v>
      </c>
      <c r="E313" s="4">
        <v>47558</v>
      </c>
      <c r="F313" s="3">
        <v>1000</v>
      </c>
      <c r="G313" s="3" t="s">
        <v>20</v>
      </c>
      <c r="H313" s="3">
        <v>1050</v>
      </c>
      <c r="I313" s="3" t="s">
        <v>20</v>
      </c>
      <c r="J313" s="3">
        <v>105</v>
      </c>
      <c r="K313" s="3">
        <v>20</v>
      </c>
      <c r="L313" s="5">
        <v>0.1</v>
      </c>
      <c r="M313" s="3" t="s">
        <v>21</v>
      </c>
      <c r="N313" s="3">
        <v>1641</v>
      </c>
      <c r="O313" s="6">
        <f>Table1[[#This Row],[Current coupon %]]*Table1[[#This Row],[Face value]]/Table1[[#This Row],[Ask Price]]</f>
        <v>9.5238095238095233E-2</v>
      </c>
      <c r="P313" s="3"/>
      <c r="Q313" s="3" t="s">
        <v>22</v>
      </c>
      <c r="R313">
        <f t="shared" si="4"/>
        <v>10</v>
      </c>
      <c r="S313" s="22" cm="1">
        <f t="array" ref="S313">_xlfn.IFS(Table1[[#This Row],[Coupon frequency]]="Semi-annual",2,Table1[[#This Row],[Coupon frequency]]="Quarterly",4,Table1[[#This Row],[Coupon frequency]]="Annual",1,Table1[[#This Row],[Coupon frequency]]="Every 4 months",3,Table1[[#This Row],[Coupon frequency]]="Monthly",12)</f>
        <v>1</v>
      </c>
      <c r="T313">
        <f>Table1[[#This Row],[Term to Maturity (Years)]]*Table1[[#This Row],[Coupon Frequency2]]</f>
        <v>10</v>
      </c>
      <c r="U313">
        <f>Table1[[#This Row],[Face value]]*Table1[[#This Row],[Current coupon %]]/Table1[[#This Row],[Coupon Frequency2]]</f>
        <v>100</v>
      </c>
      <c r="V313" s="23">
        <f>RATE(Table1[[#This Row],[Total No. of Coupons]],Table1[[#This Row],[Coupon Amount]],-Table1[[#This Row],[Ask Price]],Table1[[#This Row],[Face value]])</f>
        <v>9.2135605783483163E-2</v>
      </c>
      <c r="W313" s="24">
        <f>Table1[[#This Row],[IRR]]*Table1[[#This Row],[Coupon Frequency2]]</f>
        <v>9.2135605783483163E-2</v>
      </c>
      <c r="X313" s="25" cm="1">
        <f t="array" ref="X3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3" s="26">
        <f>DURATION(Table1[[#This Row],[Issue date]],Table1[[#This Row],[Maturity date]],Table1[[#This Row],[Current coupon %]],Table1[[#This Row],[Yield (Annualised)]],Table1[[#This Row],[Coupon Frequency2]])</f>
        <v>6.8406254273592548</v>
      </c>
      <c r="Z313" s="26">
        <f>Table1[[#This Row],[Macaulay Duration in Years]]/(1+Table1[[#This Row],[IRR]])</f>
        <v>6.2635311870927266</v>
      </c>
      <c r="AA313" s="27">
        <f>VLOOKUP(Table1[[#This Row],[Yield Cluster]],'[1]Cluster Details'!$B$3:$C$16,2,0)</f>
        <v>7.8548801574189142E-2</v>
      </c>
      <c r="AB313" s="28">
        <f>PRICE(Table1[[#This Row],[Issue date]],Table1[[#This Row],[Maturity date]],Table1[[#This Row],[Current coupon %]],Table1[[#This Row],[Average Cluster Yield]],100,Table1[[#This Row],[Coupon Frequency2]])*Table1[[#This Row],[Face value]]/100</f>
        <v>1144.8862331975467</v>
      </c>
      <c r="AC313" s="27" t="str">
        <f>IF(Table1[[#This Row],[Ask Price]]&gt;Table1[[#This Row],[Calculated Bond Price]],"Rich","Cheap")</f>
        <v>Cheap</v>
      </c>
      <c r="AD313" s="28">
        <f>PRICE(Table1[[#This Row],[Issue date]],Table1[[#This Row],[Maturity date]],Table1[[#This Row],[Current coupon %]],Table1[[#This Row],[Yield (Annualised)]]+$AE$2,100,Table1[[#This Row],[Coupon Frequency2]])*Table1[[#This Row],[Face value]]/100</f>
        <v>986.9971564991472</v>
      </c>
      <c r="AE313" s="28">
        <f>PRICE(Table1[[#This Row],[Issue date]],Table1[[#This Row],[Maturity date]],Table1[[#This Row],[Current coupon %]],Table1[[#This Row],[Yield (Annualised)]]-$AE$2,100,Table1[[#This Row],[Coupon Frequency2]])*Table1[[#This Row],[Face value]]/100</f>
        <v>1118.7253919882185</v>
      </c>
      <c r="AF313" s="28">
        <f>(Table1[[#This Row],[P (+ shock)]]+Table1[[#This Row],[P (-shock)]]-2*Table1[[#This Row],[Ask Price]])/(2*Table1[[#This Row],[Ask Price]]*($AE$2^2))</f>
        <v>27.250230892217413</v>
      </c>
    </row>
    <row r="314" spans="1:32" x14ac:dyDescent="0.25">
      <c r="A314" s="21" t="s">
        <v>674</v>
      </c>
      <c r="B314" s="3" t="s">
        <v>675</v>
      </c>
      <c r="C314" s="3" t="s">
        <v>19</v>
      </c>
      <c r="D314" s="4">
        <v>45821</v>
      </c>
      <c r="E314" s="4">
        <v>46552</v>
      </c>
      <c r="F314" s="3">
        <v>100000</v>
      </c>
      <c r="G314" s="3" t="s">
        <v>20</v>
      </c>
      <c r="H314" s="3">
        <v>100989.43</v>
      </c>
      <c r="I314" s="3" t="s">
        <v>20</v>
      </c>
      <c r="J314" s="3">
        <v>100.98943</v>
      </c>
      <c r="K314" s="3">
        <v>1</v>
      </c>
      <c r="L314" s="5">
        <v>9.6000000000000002E-2</v>
      </c>
      <c r="M314" s="3" t="s">
        <v>21</v>
      </c>
      <c r="N314" s="3">
        <v>635</v>
      </c>
      <c r="O314" s="6">
        <f>Table1[[#This Row],[Current coupon %]]*Table1[[#This Row],[Face value]]/Table1[[#This Row],[Ask Price]]</f>
        <v>9.5059453251691794E-2</v>
      </c>
      <c r="P314" s="3"/>
      <c r="Q314" s="3" t="s">
        <v>22</v>
      </c>
      <c r="R314">
        <f t="shared" si="4"/>
        <v>2</v>
      </c>
      <c r="S314" s="22" cm="1">
        <f t="array" ref="S314">_xlfn.IFS(Table1[[#This Row],[Coupon frequency]]="Semi-annual",2,Table1[[#This Row],[Coupon frequency]]="Quarterly",4,Table1[[#This Row],[Coupon frequency]]="Annual",1,Table1[[#This Row],[Coupon frequency]]="Every 4 months",3,Table1[[#This Row],[Coupon frequency]]="Monthly",12)</f>
        <v>1</v>
      </c>
      <c r="T314">
        <f>Table1[[#This Row],[Term to Maturity (Years)]]*Table1[[#This Row],[Coupon Frequency2]]</f>
        <v>2</v>
      </c>
      <c r="U314">
        <f>Table1[[#This Row],[Face value]]*Table1[[#This Row],[Current coupon %]]/Table1[[#This Row],[Coupon Frequency2]]</f>
        <v>9600</v>
      </c>
      <c r="V314" s="23">
        <f>RATE(Table1[[#This Row],[Total No. of Coupons]],Table1[[#This Row],[Coupon Amount]],-Table1[[#This Row],[Ask Price]],Table1[[#This Row],[Face value]])</f>
        <v>9.0372555724879206E-2</v>
      </c>
      <c r="W314" s="24">
        <f>Table1[[#This Row],[IRR]]*Table1[[#This Row],[Coupon Frequency2]]</f>
        <v>9.0372555724879206E-2</v>
      </c>
      <c r="X314" s="25" cm="1">
        <f t="array" ref="X3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4" s="26">
        <f>DURATION(Table1[[#This Row],[Issue date]],Table1[[#This Row],[Maturity date]],Table1[[#This Row],[Current coupon %]],Table1[[#This Row],[Yield (Annualised)]],Table1[[#This Row],[Coupon Frequency2]])</f>
        <v>1.7495498682011381</v>
      </c>
      <c r="Z314" s="26">
        <f>Table1[[#This Row],[Macaulay Duration in Years]]/(1+Table1[[#This Row],[IRR]])</f>
        <v>1.6045431985749479</v>
      </c>
      <c r="AA314" s="27">
        <f>VLOOKUP(Table1[[#This Row],[Yield Cluster]],'[1]Cluster Details'!$B$3:$C$16,2,0)</f>
        <v>7.8548801574189142E-2</v>
      </c>
      <c r="AB314" s="28">
        <f>PRICE(Table1[[#This Row],[Issue date]],Table1[[#This Row],[Maturity date]],Table1[[#This Row],[Current coupon %]],Table1[[#This Row],[Average Cluster Yield]],100,Table1[[#This Row],[Coupon Frequency2]])*Table1[[#This Row],[Face value]]/100</f>
        <v>103121.20692334691</v>
      </c>
      <c r="AC314" s="27" t="str">
        <f>IF(Table1[[#This Row],[Ask Price]]&gt;Table1[[#This Row],[Calculated Bond Price]],"Rich","Cheap")</f>
        <v>Cheap</v>
      </c>
      <c r="AD314" s="28">
        <f>PRICE(Table1[[#This Row],[Issue date]],Table1[[#This Row],[Maturity date]],Table1[[#This Row],[Current coupon %]],Table1[[#This Row],[Yield (Annualised)]]+$AE$2,100,Table1[[#This Row],[Coupon Frequency2]])*Table1[[#This Row],[Face value]]/100</f>
        <v>99239.258218238989</v>
      </c>
      <c r="AE314" s="28">
        <f>PRICE(Table1[[#This Row],[Issue date]],Table1[[#This Row],[Maturity date]],Table1[[#This Row],[Current coupon %]],Table1[[#This Row],[Yield (Annualised)]]-$AE$2,100,Table1[[#This Row],[Coupon Frequency2]])*Table1[[#This Row],[Face value]]/100</f>
        <v>102787.89995925612</v>
      </c>
      <c r="AF314" s="28">
        <f>(Table1[[#This Row],[P (+ shock)]]+Table1[[#This Row],[P (-shock)]]-2*Table1[[#This Row],[Ask Price]])/(2*Table1[[#This Row],[Ask Price]]*($AE$2^2))</f>
        <v>2.3912491384065211</v>
      </c>
    </row>
    <row r="315" spans="1:32" x14ac:dyDescent="0.25">
      <c r="A315" s="21" t="s">
        <v>676</v>
      </c>
      <c r="B315" s="3" t="s">
        <v>677</v>
      </c>
      <c r="C315" s="3" t="s">
        <v>19</v>
      </c>
      <c r="D315" s="4">
        <v>44841</v>
      </c>
      <c r="E315" s="4">
        <v>47571</v>
      </c>
      <c r="F315" s="3">
        <v>1000000</v>
      </c>
      <c r="G315" s="3" t="s">
        <v>20</v>
      </c>
      <c r="H315" s="3">
        <v>1047000</v>
      </c>
      <c r="I315" s="3" t="s">
        <v>20</v>
      </c>
      <c r="J315" s="3">
        <v>104.69999999999899</v>
      </c>
      <c r="K315" s="3">
        <v>1</v>
      </c>
      <c r="L315" s="5">
        <v>9.9499999999999991E-2</v>
      </c>
      <c r="M315" s="3" t="s">
        <v>44</v>
      </c>
      <c r="N315" s="3">
        <v>1654</v>
      </c>
      <c r="O315" s="6">
        <f>Table1[[#This Row],[Current coupon %]]*Table1[[#This Row],[Face value]]/Table1[[#This Row],[Ask Price]]</f>
        <v>9.5033428844317078E-2</v>
      </c>
      <c r="P315" s="3"/>
      <c r="Q315" s="3" t="s">
        <v>22</v>
      </c>
      <c r="R315">
        <f t="shared" si="4"/>
        <v>7</v>
      </c>
      <c r="S315" s="22" cm="1">
        <f t="array" ref="S315">_xlfn.IFS(Table1[[#This Row],[Coupon frequency]]="Semi-annual",2,Table1[[#This Row],[Coupon frequency]]="Quarterly",4,Table1[[#This Row],[Coupon frequency]]="Annual",1,Table1[[#This Row],[Coupon frequency]]="Every 4 months",3,Table1[[#This Row],[Coupon frequency]]="Monthly",12)</f>
        <v>4</v>
      </c>
      <c r="T315">
        <f>Table1[[#This Row],[Term to Maturity (Years)]]*Table1[[#This Row],[Coupon Frequency2]]</f>
        <v>28</v>
      </c>
      <c r="U315">
        <f>Table1[[#This Row],[Face value]]*Table1[[#This Row],[Current coupon %]]/Table1[[#This Row],[Coupon Frequency2]]</f>
        <v>24874.999999999996</v>
      </c>
      <c r="V315" s="23">
        <f>RATE(Table1[[#This Row],[Total No. of Coupons]],Table1[[#This Row],[Coupon Amount]],-Table1[[#This Row],[Ask Price]],Table1[[#This Row],[Face value]])</f>
        <v>2.259164328538996E-2</v>
      </c>
      <c r="W315" s="24">
        <f>Table1[[#This Row],[IRR]]*Table1[[#This Row],[Coupon Frequency2]]</f>
        <v>9.0366573141559839E-2</v>
      </c>
      <c r="X315" s="25" cm="1">
        <f t="array" ref="X3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5" s="26">
        <f>DURATION(Table1[[#This Row],[Issue date]],Table1[[#This Row],[Maturity date]],Table1[[#This Row],[Current coupon %]],Table1[[#This Row],[Yield (Annualised)]],Table1[[#This Row],[Coupon Frequency2]])</f>
        <v>5.4072659599101263</v>
      </c>
      <c r="Z315" s="26">
        <f>Table1[[#This Row],[Macaulay Duration in Years]]/(1+Table1[[#This Row],[IRR]])</f>
        <v>5.2878057388945825</v>
      </c>
      <c r="AA315" s="27">
        <f>VLOOKUP(Table1[[#This Row],[Yield Cluster]],'[1]Cluster Details'!$B$3:$C$16,2,0)</f>
        <v>7.8548801574189142E-2</v>
      </c>
      <c r="AB315" s="28">
        <f>PRICE(Table1[[#This Row],[Issue date]],Table1[[#This Row],[Maturity date]],Table1[[#This Row],[Current coupon %]],Table1[[#This Row],[Average Cluster Yield]],100,Table1[[#This Row],[Coupon Frequency2]])*Table1[[#This Row],[Face value]]/100</f>
        <v>1117618.4248086633</v>
      </c>
      <c r="AC315" s="27" t="str">
        <f>IF(Table1[[#This Row],[Ask Price]]&gt;Table1[[#This Row],[Calculated Bond Price]],"Rich","Cheap")</f>
        <v>Cheap</v>
      </c>
      <c r="AD315" s="28">
        <f>PRICE(Table1[[#This Row],[Issue date]],Table1[[#This Row],[Maturity date]],Table1[[#This Row],[Current coupon %]],Table1[[#This Row],[Yield (Annualised)]]+$AE$2,100,Table1[[#This Row],[Coupon Frequency2]])*Table1[[#This Row],[Face value]]/100</f>
        <v>995455.30386512622</v>
      </c>
      <c r="AE315" s="28">
        <f>PRICE(Table1[[#This Row],[Issue date]],Table1[[#This Row],[Maturity date]],Table1[[#This Row],[Current coupon %]],Table1[[#This Row],[Yield (Annualised)]]-$AE$2,100,Table1[[#This Row],[Coupon Frequency2]])*Table1[[#This Row],[Face value]]/100</f>
        <v>1106743.3947751909</v>
      </c>
      <c r="AF315" s="28">
        <f>(Table1[[#This Row],[P (+ shock)]]+Table1[[#This Row],[P (-shock)]]-2*Table1[[#This Row],[Ask Price]])/(2*Table1[[#This Row],[Ask Price]]*($AE$2^2))</f>
        <v>39.153288635707689</v>
      </c>
    </row>
    <row r="316" spans="1:32" x14ac:dyDescent="0.25">
      <c r="A316" s="21" t="s">
        <v>678</v>
      </c>
      <c r="B316" s="3" t="s">
        <v>679</v>
      </c>
      <c r="C316" s="3" t="s">
        <v>19</v>
      </c>
      <c r="D316" s="4">
        <v>45715</v>
      </c>
      <c r="E316" s="4">
        <v>46199</v>
      </c>
      <c r="F316" s="3">
        <v>100000</v>
      </c>
      <c r="G316" s="3" t="s">
        <v>20</v>
      </c>
      <c r="H316" s="3">
        <v>104764.68</v>
      </c>
      <c r="I316" s="3" t="s">
        <v>20</v>
      </c>
      <c r="J316" s="3">
        <v>104.764679999999</v>
      </c>
      <c r="K316" s="3">
        <v>1</v>
      </c>
      <c r="L316" s="5">
        <v>9.9499999999999991E-2</v>
      </c>
      <c r="M316" s="3" t="s">
        <v>21</v>
      </c>
      <c r="N316" s="3">
        <v>282</v>
      </c>
      <c r="O316" s="6">
        <f>Table1[[#This Row],[Current coupon %]]*Table1[[#This Row],[Face value]]/Table1[[#This Row],[Ask Price]]</f>
        <v>9.4974756759625481E-2</v>
      </c>
      <c r="P316" s="3"/>
      <c r="Q316" s="3" t="s">
        <v>22</v>
      </c>
      <c r="R316">
        <f t="shared" si="4"/>
        <v>1</v>
      </c>
      <c r="S316" s="22" cm="1">
        <f t="array" ref="S316">_xlfn.IFS(Table1[[#This Row],[Coupon frequency]]="Semi-annual",2,Table1[[#This Row],[Coupon frequency]]="Quarterly",4,Table1[[#This Row],[Coupon frequency]]="Annual",1,Table1[[#This Row],[Coupon frequency]]="Every 4 months",3,Table1[[#This Row],[Coupon frequency]]="Monthly",12)</f>
        <v>1</v>
      </c>
      <c r="T316">
        <f>Table1[[#This Row],[Term to Maturity (Years)]]*Table1[[#This Row],[Coupon Frequency2]]</f>
        <v>1</v>
      </c>
      <c r="U316">
        <f>Table1[[#This Row],[Face value]]*Table1[[#This Row],[Current coupon %]]/Table1[[#This Row],[Coupon Frequency2]]</f>
        <v>9950</v>
      </c>
      <c r="V316" s="23">
        <f>RATE(Table1[[#This Row],[Total No. of Coupons]],Table1[[#This Row],[Coupon Amount]],-Table1[[#This Row],[Ask Price]],Table1[[#This Row],[Face value]])</f>
        <v>4.9494925198072581E-2</v>
      </c>
      <c r="W316" s="24">
        <f>Table1[[#This Row],[IRR]]*Table1[[#This Row],[Coupon Frequency2]]</f>
        <v>4.9494925198072581E-2</v>
      </c>
      <c r="X316" s="25" cm="1">
        <f t="array" ref="X3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316" s="26">
        <f>DURATION(Table1[[#This Row],[Issue date]],Table1[[#This Row],[Maturity date]],Table1[[#This Row],[Current coupon %]],Table1[[#This Row],[Yield (Annualised)]],Table1[[#This Row],[Coupon Frequency2]])</f>
        <v>1.2438186183126501</v>
      </c>
      <c r="Z316" s="26">
        <f>Table1[[#This Row],[Macaulay Duration in Years]]/(1+Table1[[#This Row],[IRR]])</f>
        <v>1.185159249891468</v>
      </c>
      <c r="AA316" s="27">
        <f>VLOOKUP(Table1[[#This Row],[Yield Cluster]],'[1]Cluster Details'!$B$3:$C$16,2,0)</f>
        <v>3.4641747232266588E-2</v>
      </c>
      <c r="AB316" s="28">
        <f>PRICE(Table1[[#This Row],[Issue date]],Table1[[#This Row],[Maturity date]],Table1[[#This Row],[Current coupon %]],Table1[[#This Row],[Average Cluster Yield]],100,Table1[[#This Row],[Coupon Frequency2]])*Table1[[#This Row],[Face value]]/100</f>
        <v>108256.74130193808</v>
      </c>
      <c r="AC316" s="27" t="str">
        <f>IF(Table1[[#This Row],[Ask Price]]&gt;Table1[[#This Row],[Calculated Bond Price]],"Rich","Cheap")</f>
        <v>Cheap</v>
      </c>
      <c r="AD316" s="28">
        <f>PRICE(Table1[[#This Row],[Issue date]],Table1[[#This Row],[Maturity date]],Table1[[#This Row],[Current coupon %]],Table1[[#This Row],[Yield (Annualised)]]+$AE$2,100,Table1[[#This Row],[Coupon Frequency2]])*Table1[[#This Row],[Face value]]/100</f>
        <v>104912.94114313209</v>
      </c>
      <c r="AE316" s="28">
        <f>PRICE(Table1[[#This Row],[Issue date]],Table1[[#This Row],[Maturity date]],Table1[[#This Row],[Current coupon %]],Table1[[#This Row],[Yield (Annualised)]]-$AE$2,100,Table1[[#This Row],[Coupon Frequency2]])*Table1[[#This Row],[Face value]]/100</f>
        <v>107589.27840466585</v>
      </c>
      <c r="AF316" s="28">
        <f>(Table1[[#This Row],[P (+ shock)]]+Table1[[#This Row],[P (-shock)]]-2*Table1[[#This Row],[Ask Price]])/(2*Table1[[#This Row],[Ask Price]]*($AE$2^2))</f>
        <v>141.88271981539674</v>
      </c>
    </row>
    <row r="317" spans="1:32" x14ac:dyDescent="0.25">
      <c r="A317" s="21" t="s">
        <v>680</v>
      </c>
      <c r="B317" s="3" t="s">
        <v>681</v>
      </c>
      <c r="C317" s="3" t="s">
        <v>19</v>
      </c>
      <c r="D317" s="4">
        <v>45043</v>
      </c>
      <c r="E317" s="4">
        <v>46139</v>
      </c>
      <c r="F317" s="3">
        <v>1000</v>
      </c>
      <c r="G317" s="3" t="s">
        <v>20</v>
      </c>
      <c r="H317" s="3">
        <v>1023</v>
      </c>
      <c r="I317" s="3" t="s">
        <v>20</v>
      </c>
      <c r="J317" s="3">
        <v>102.3</v>
      </c>
      <c r="K317" s="3">
        <v>170</v>
      </c>
      <c r="L317" s="5">
        <v>9.6000000000000002E-2</v>
      </c>
      <c r="M317" s="3" t="s">
        <v>21</v>
      </c>
      <c r="N317" s="3">
        <v>222</v>
      </c>
      <c r="O317" s="6">
        <f>Table1[[#This Row],[Current coupon %]]*Table1[[#This Row],[Face value]]/Table1[[#This Row],[Ask Price]]</f>
        <v>9.3841642228739003E-2</v>
      </c>
      <c r="P317" s="3"/>
      <c r="Q317" s="3" t="s">
        <v>22</v>
      </c>
      <c r="R317">
        <f t="shared" si="4"/>
        <v>3</v>
      </c>
      <c r="S317" s="22" cm="1">
        <f t="array" ref="S317">_xlfn.IFS(Table1[[#This Row],[Coupon frequency]]="Semi-annual",2,Table1[[#This Row],[Coupon frequency]]="Quarterly",4,Table1[[#This Row],[Coupon frequency]]="Annual",1,Table1[[#This Row],[Coupon frequency]]="Every 4 months",3,Table1[[#This Row],[Coupon frequency]]="Monthly",12)</f>
        <v>1</v>
      </c>
      <c r="T317">
        <f>Table1[[#This Row],[Term to Maturity (Years)]]*Table1[[#This Row],[Coupon Frequency2]]</f>
        <v>3</v>
      </c>
      <c r="U317">
        <f>Table1[[#This Row],[Face value]]*Table1[[#This Row],[Current coupon %]]/Table1[[#This Row],[Coupon Frequency2]]</f>
        <v>96</v>
      </c>
      <c r="V317" s="23">
        <f>RATE(Table1[[#This Row],[Total No. of Coupons]],Table1[[#This Row],[Coupon Amount]],-Table1[[#This Row],[Ask Price]],Table1[[#This Row],[Face value]])</f>
        <v>8.6962881567788655E-2</v>
      </c>
      <c r="W317" s="24">
        <f>Table1[[#This Row],[IRR]]*Table1[[#This Row],[Coupon Frequency2]]</f>
        <v>8.6962881567788655E-2</v>
      </c>
      <c r="X317" s="25" cm="1">
        <f t="array" ref="X3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7" s="26">
        <f>DURATION(Table1[[#This Row],[Issue date]],Table1[[#This Row],[Maturity date]],Table1[[#This Row],[Current coupon %]],Table1[[#This Row],[Yield (Annualised)]],Table1[[#This Row],[Coupon Frequency2]])</f>
        <v>2.7479057520621741</v>
      </c>
      <c r="Z317" s="26">
        <f>Table1[[#This Row],[Macaulay Duration in Years]]/(1+Table1[[#This Row],[IRR]])</f>
        <v>2.5280585001198133</v>
      </c>
      <c r="AA317" s="27">
        <f>VLOOKUP(Table1[[#This Row],[Yield Cluster]],'[1]Cluster Details'!$B$3:$C$16,2,0)</f>
        <v>7.8548801574189142E-2</v>
      </c>
      <c r="AB317" s="28">
        <f>PRICE(Table1[[#This Row],[Issue date]],Table1[[#This Row],[Maturity date]],Table1[[#This Row],[Current coupon %]],Table1[[#This Row],[Average Cluster Yield]],100,Table1[[#This Row],[Coupon Frequency2]])*Table1[[#This Row],[Face value]]/100</f>
        <v>1045.0914560073952</v>
      </c>
      <c r="AC317" s="27" t="str">
        <f>IF(Table1[[#This Row],[Ask Price]]&gt;Table1[[#This Row],[Calculated Bond Price]],"Rich","Cheap")</f>
        <v>Cheap</v>
      </c>
      <c r="AD317" s="28">
        <f>PRICE(Table1[[#This Row],[Issue date]],Table1[[#This Row],[Maturity date]],Table1[[#This Row],[Current coupon %]],Table1[[#This Row],[Yield (Annualised)]]+$AE$2,100,Table1[[#This Row],[Coupon Frequency2]])*Table1[[#This Row],[Face value]]/100</f>
        <v>997.59259455744211</v>
      </c>
      <c r="AE317" s="28">
        <f>PRICE(Table1[[#This Row],[Issue date]],Table1[[#This Row],[Maturity date]],Table1[[#This Row],[Current coupon %]],Table1[[#This Row],[Yield (Annualised)]]-$AE$2,100,Table1[[#This Row],[Coupon Frequency2]])*Table1[[#This Row],[Face value]]/100</f>
        <v>1049.3306084475473</v>
      </c>
      <c r="AF317" s="28">
        <f>(Table1[[#This Row],[P (+ shock)]]+Table1[[#This Row],[P (-shock)]]-2*Table1[[#This Row],[Ask Price]])/(2*Table1[[#This Row],[Ask Price]]*($AE$2^2))</f>
        <v>4.5122336509741849</v>
      </c>
    </row>
    <row r="318" spans="1:32" x14ac:dyDescent="0.25">
      <c r="A318" s="21" t="s">
        <v>682</v>
      </c>
      <c r="B318" s="3" t="s">
        <v>683</v>
      </c>
      <c r="C318" s="3" t="s">
        <v>19</v>
      </c>
      <c r="D318" s="4">
        <v>45840</v>
      </c>
      <c r="E318" s="4">
        <v>46570</v>
      </c>
      <c r="F318" s="3">
        <v>1000</v>
      </c>
      <c r="G318" s="3" t="s">
        <v>20</v>
      </c>
      <c r="H318" s="3">
        <v>975</v>
      </c>
      <c r="I318" s="3" t="s">
        <v>20</v>
      </c>
      <c r="J318" s="3">
        <v>97.5</v>
      </c>
      <c r="K318" s="3">
        <v>1</v>
      </c>
      <c r="L318" s="5">
        <v>9.2499999999999999E-2</v>
      </c>
      <c r="M318" s="3" t="s">
        <v>21</v>
      </c>
      <c r="N318" s="3">
        <v>653</v>
      </c>
      <c r="O318" s="6">
        <f>Table1[[#This Row],[Current coupon %]]*Table1[[#This Row],[Face value]]/Table1[[#This Row],[Ask Price]]</f>
        <v>9.4871794871794868E-2</v>
      </c>
      <c r="P318" s="3"/>
      <c r="Q318" s="3" t="s">
        <v>22</v>
      </c>
      <c r="R318">
        <f t="shared" si="4"/>
        <v>2</v>
      </c>
      <c r="S318" s="22" cm="1">
        <f t="array" ref="S318">_xlfn.IFS(Table1[[#This Row],[Coupon frequency]]="Semi-annual",2,Table1[[#This Row],[Coupon frequency]]="Quarterly",4,Table1[[#This Row],[Coupon frequency]]="Annual",1,Table1[[#This Row],[Coupon frequency]]="Every 4 months",3,Table1[[#This Row],[Coupon frequency]]="Monthly",12)</f>
        <v>1</v>
      </c>
      <c r="T318">
        <f>Table1[[#This Row],[Term to Maturity (Years)]]*Table1[[#This Row],[Coupon Frequency2]]</f>
        <v>2</v>
      </c>
      <c r="U318">
        <f>Table1[[#This Row],[Face value]]*Table1[[#This Row],[Current coupon %]]/Table1[[#This Row],[Coupon Frequency2]]</f>
        <v>92.5</v>
      </c>
      <c r="V318" s="23">
        <f>RATE(Table1[[#This Row],[Total No. of Coupons]],Table1[[#This Row],[Coupon Amount]],-Table1[[#This Row],[Ask Price]],Table1[[#This Row],[Face value]])</f>
        <v>0.10704100542583606</v>
      </c>
      <c r="W318" s="24">
        <f>Table1[[#This Row],[IRR]]*Table1[[#This Row],[Coupon Frequency2]]</f>
        <v>0.10704100542583606</v>
      </c>
      <c r="X318" s="25" cm="1">
        <f t="array" ref="X3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18" s="26">
        <f>DURATION(Table1[[#This Row],[Issue date]],Table1[[#This Row],[Maturity date]],Table1[[#This Row],[Current coupon %]],Table1[[#This Row],[Yield (Annualised)]],Table1[[#This Row],[Coupon Frequency2]])</f>
        <v>1.914301462721969</v>
      </c>
      <c r="Z318" s="26">
        <f>Table1[[#This Row],[Macaulay Duration in Years]]/(1+Table1[[#This Row],[IRR]])</f>
        <v>1.7292055608957422</v>
      </c>
      <c r="AA318" s="27">
        <f>VLOOKUP(Table1[[#This Row],[Yield Cluster]],'[1]Cluster Details'!$B$3:$C$16,2,0)</f>
        <v>0.11069942689191503</v>
      </c>
      <c r="AB318" s="28">
        <f>PRICE(Table1[[#This Row],[Issue date]],Table1[[#This Row],[Maturity date]],Table1[[#This Row],[Current coupon %]],Table1[[#This Row],[Average Cluster Yield]],100,Table1[[#This Row],[Coupon Frequency2]])*Table1[[#This Row],[Face value]]/100</f>
        <v>968.86197888972742</v>
      </c>
      <c r="AC318" s="27" t="str">
        <f>IF(Table1[[#This Row],[Ask Price]]&gt;Table1[[#This Row],[Calculated Bond Price]],"Rich","Cheap")</f>
        <v>Rich</v>
      </c>
      <c r="AD318" s="28">
        <f>PRICE(Table1[[#This Row],[Issue date]],Table1[[#This Row],[Maturity date]],Table1[[#This Row],[Current coupon %]],Table1[[#This Row],[Yield (Annualised)]]+$AE$2,100,Table1[[#This Row],[Coupon Frequency2]])*Table1[[#This Row],[Face value]]/100</f>
        <v>958.3626204190175</v>
      </c>
      <c r="AE318" s="28">
        <f>PRICE(Table1[[#This Row],[Issue date]],Table1[[#This Row],[Maturity date]],Table1[[#This Row],[Current coupon %]],Table1[[#This Row],[Yield (Annualised)]]-$AE$2,100,Table1[[#This Row],[Coupon Frequency2]])*Table1[[#This Row],[Face value]]/100</f>
        <v>992.08750913767506</v>
      </c>
      <c r="AF318" s="28">
        <f>(Table1[[#This Row],[P (+ shock)]]+Table1[[#This Row],[P (-shock)]]-2*Table1[[#This Row],[Ask Price]])/(2*Table1[[#This Row],[Ask Price]]*($AE$2^2))</f>
        <v>2.3083567009868999</v>
      </c>
    </row>
    <row r="319" spans="1:32" x14ac:dyDescent="0.25">
      <c r="A319" s="21" t="s">
        <v>684</v>
      </c>
      <c r="B319" s="3" t="s">
        <v>685</v>
      </c>
      <c r="C319" s="3" t="s">
        <v>19</v>
      </c>
      <c r="D319" s="4">
        <v>43406</v>
      </c>
      <c r="E319" s="4">
        <v>47059</v>
      </c>
      <c r="F319" s="3">
        <v>1000</v>
      </c>
      <c r="G319" s="3" t="s">
        <v>20</v>
      </c>
      <c r="H319" s="3">
        <v>1023.01</v>
      </c>
      <c r="I319" s="3" t="s">
        <v>20</v>
      </c>
      <c r="J319" s="3">
        <v>102.301</v>
      </c>
      <c r="K319" s="3">
        <v>50</v>
      </c>
      <c r="L319" s="5">
        <v>9.6999999999999989E-2</v>
      </c>
      <c r="M319" s="3" t="s">
        <v>21</v>
      </c>
      <c r="N319" s="3">
        <v>1142</v>
      </c>
      <c r="O319" s="6">
        <f>Table1[[#This Row],[Current coupon %]]*Table1[[#This Row],[Face value]]/Table1[[#This Row],[Ask Price]]</f>
        <v>9.4818232470845823E-2</v>
      </c>
      <c r="P319" s="3" t="s">
        <v>97</v>
      </c>
      <c r="Q319" s="3" t="s">
        <v>22</v>
      </c>
      <c r="R319">
        <f t="shared" si="4"/>
        <v>10</v>
      </c>
      <c r="S319" s="22" cm="1">
        <f t="array" ref="S319">_xlfn.IFS(Table1[[#This Row],[Coupon frequency]]="Semi-annual",2,Table1[[#This Row],[Coupon frequency]]="Quarterly",4,Table1[[#This Row],[Coupon frequency]]="Annual",1,Table1[[#This Row],[Coupon frequency]]="Every 4 months",3,Table1[[#This Row],[Coupon frequency]]="Monthly",12)</f>
        <v>1</v>
      </c>
      <c r="T319">
        <f>Table1[[#This Row],[Term to Maturity (Years)]]*Table1[[#This Row],[Coupon Frequency2]]</f>
        <v>10</v>
      </c>
      <c r="U319">
        <f>Table1[[#This Row],[Face value]]*Table1[[#This Row],[Current coupon %]]/Table1[[#This Row],[Coupon Frequency2]]</f>
        <v>96.999999999999986</v>
      </c>
      <c r="V319" s="23">
        <f>RATE(Table1[[#This Row],[Total No. of Coupons]],Table1[[#This Row],[Coupon Amount]],-Table1[[#This Row],[Ask Price]],Table1[[#This Row],[Face value]])</f>
        <v>9.3361357383481267E-2</v>
      </c>
      <c r="W319" s="24">
        <f>Table1[[#This Row],[IRR]]*Table1[[#This Row],[Coupon Frequency2]]</f>
        <v>9.3361357383481267E-2</v>
      </c>
      <c r="X319" s="25" cm="1">
        <f t="array" ref="X3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19" s="26">
        <f>DURATION(Table1[[#This Row],[Issue date]],Table1[[#This Row],[Maturity date]],Table1[[#This Row],[Current coupon %]],Table1[[#This Row],[Yield (Annualised)]],Table1[[#This Row],[Coupon Frequency2]])</f>
        <v>6.8660308716522076</v>
      </c>
      <c r="Z319" s="26">
        <f>Table1[[#This Row],[Macaulay Duration in Years]]/(1+Table1[[#This Row],[IRR]])</f>
        <v>6.2797453241655425</v>
      </c>
      <c r="AA319" s="27">
        <f>VLOOKUP(Table1[[#This Row],[Yield Cluster]],'[1]Cluster Details'!$B$3:$C$16,2,0)</f>
        <v>7.8548801574189142E-2</v>
      </c>
      <c r="AB319" s="28">
        <f>PRICE(Table1[[#This Row],[Issue date]],Table1[[#This Row],[Maturity date]],Table1[[#This Row],[Current coupon %]],Table1[[#This Row],[Average Cluster Yield]],100,Table1[[#This Row],[Coupon Frequency2]])*Table1[[#This Row],[Face value]]/100</f>
        <v>1124.6235564479978</v>
      </c>
      <c r="AC319" s="27" t="str">
        <f>IF(Table1[[#This Row],[Ask Price]]&gt;Table1[[#This Row],[Calculated Bond Price]],"Rich","Cheap")</f>
        <v>Cheap</v>
      </c>
      <c r="AD319" s="28">
        <f>PRICE(Table1[[#This Row],[Issue date]],Table1[[#This Row],[Maturity date]],Table1[[#This Row],[Current coupon %]],Table1[[#This Row],[Yield (Annualised)]]+$AE$2,100,Table1[[#This Row],[Coupon Frequency2]])*Table1[[#This Row],[Face value]]/100</f>
        <v>961.47032236379687</v>
      </c>
      <c r="AE319" s="28">
        <f>PRICE(Table1[[#This Row],[Issue date]],Table1[[#This Row],[Maturity date]],Table1[[#This Row],[Current coupon %]],Table1[[#This Row],[Yield (Annualised)]]-$AE$2,100,Table1[[#This Row],[Coupon Frequency2]])*Table1[[#This Row],[Face value]]/100</f>
        <v>1090.1449632542588</v>
      </c>
      <c r="AF319" s="28">
        <f>(Table1[[#This Row],[P (+ shock)]]+Table1[[#This Row],[P (-shock)]]-2*Table1[[#This Row],[Ask Price]])/(2*Table1[[#This Row],[Ask Price]]*($AE$2^2))</f>
        <v>27.347169715132992</v>
      </c>
    </row>
    <row r="320" spans="1:32" x14ac:dyDescent="0.25">
      <c r="A320" s="21" t="s">
        <v>686</v>
      </c>
      <c r="B320" s="3" t="s">
        <v>687</v>
      </c>
      <c r="C320" s="3" t="s">
        <v>19</v>
      </c>
      <c r="D320" s="4">
        <v>45735</v>
      </c>
      <c r="E320" s="4">
        <v>46465</v>
      </c>
      <c r="F320" s="3">
        <v>1000</v>
      </c>
      <c r="G320" s="3" t="s">
        <v>20</v>
      </c>
      <c r="H320" s="3">
        <v>1018</v>
      </c>
      <c r="I320" s="3" t="s">
        <v>20</v>
      </c>
      <c r="J320" s="3">
        <v>101.8</v>
      </c>
      <c r="K320" s="3">
        <v>10</v>
      </c>
      <c r="L320" s="5">
        <v>9.6500000000000002E-2</v>
      </c>
      <c r="M320" s="3" t="s">
        <v>21</v>
      </c>
      <c r="N320" s="3">
        <v>548</v>
      </c>
      <c r="O320" s="6">
        <f>Table1[[#This Row],[Current coupon %]]*Table1[[#This Row],[Face value]]/Table1[[#This Row],[Ask Price]]</f>
        <v>9.4793713163064827E-2</v>
      </c>
      <c r="P320" s="3" t="s">
        <v>25</v>
      </c>
      <c r="Q320" s="3" t="s">
        <v>22</v>
      </c>
      <c r="R320">
        <f t="shared" si="4"/>
        <v>2</v>
      </c>
      <c r="S320" s="22" cm="1">
        <f t="array" ref="S320">_xlfn.IFS(Table1[[#This Row],[Coupon frequency]]="Semi-annual",2,Table1[[#This Row],[Coupon frequency]]="Quarterly",4,Table1[[#This Row],[Coupon frequency]]="Annual",1,Table1[[#This Row],[Coupon frequency]]="Every 4 months",3,Table1[[#This Row],[Coupon frequency]]="Monthly",12)</f>
        <v>1</v>
      </c>
      <c r="T320">
        <f>Table1[[#This Row],[Term to Maturity (Years)]]*Table1[[#This Row],[Coupon Frequency2]]</f>
        <v>2</v>
      </c>
      <c r="U320">
        <f>Table1[[#This Row],[Face value]]*Table1[[#This Row],[Current coupon %]]/Table1[[#This Row],[Coupon Frequency2]]</f>
        <v>96.5</v>
      </c>
      <c r="V320" s="23">
        <f>RATE(Table1[[#This Row],[Total No. of Coupons]],Table1[[#This Row],[Coupon Amount]],-Table1[[#This Row],[Ask Price]],Table1[[#This Row],[Face value]])</f>
        <v>8.631862760027377E-2</v>
      </c>
      <c r="W320" s="24">
        <f>Table1[[#This Row],[IRR]]*Table1[[#This Row],[Coupon Frequency2]]</f>
        <v>8.631862760027377E-2</v>
      </c>
      <c r="X320" s="25" cm="1">
        <f t="array" ref="X3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0" s="26">
        <f>DURATION(Table1[[#This Row],[Issue date]],Table1[[#This Row],[Maturity date]],Table1[[#This Row],[Current coupon %]],Table1[[#This Row],[Yield (Annualised)]],Table1[[#This Row],[Coupon Frequency2]])</f>
        <v>1.9127385734216229</v>
      </c>
      <c r="Z320" s="26">
        <f>Table1[[#This Row],[Macaulay Duration in Years]]/(1+Table1[[#This Row],[IRR]])</f>
        <v>1.760752807532121</v>
      </c>
      <c r="AA320" s="27">
        <f>VLOOKUP(Table1[[#This Row],[Yield Cluster]],'[1]Cluster Details'!$B$3:$C$16,2,0)</f>
        <v>7.8548801574189142E-2</v>
      </c>
      <c r="AB320" s="28">
        <f>PRICE(Table1[[#This Row],[Issue date]],Table1[[#This Row],[Maturity date]],Table1[[#This Row],[Current coupon %]],Table1[[#This Row],[Average Cluster Yield]],100,Table1[[#This Row],[Coupon Frequency2]])*Table1[[#This Row],[Face value]]/100</f>
        <v>1032.0755470409078</v>
      </c>
      <c r="AC320" s="27" t="str">
        <f>IF(Table1[[#This Row],[Ask Price]]&gt;Table1[[#This Row],[Calculated Bond Price]],"Rich","Cheap")</f>
        <v>Cheap</v>
      </c>
      <c r="AD320" s="28">
        <f>PRICE(Table1[[#This Row],[Issue date]],Table1[[#This Row],[Maturity date]],Table1[[#This Row],[Current coupon %]],Table1[[#This Row],[Yield (Annualised)]]+$AE$2,100,Table1[[#This Row],[Coupon Frequency2]])*Table1[[#This Row],[Face value]]/100</f>
        <v>1000.316340579608</v>
      </c>
      <c r="AE320" s="28">
        <f>PRICE(Table1[[#This Row],[Issue date]],Table1[[#This Row],[Maturity date]],Table1[[#This Row],[Current coupon %]],Table1[[#This Row],[Yield (Annualised)]]-$AE$2,100,Table1[[#This Row],[Coupon Frequency2]])*Table1[[#This Row],[Face value]]/100</f>
        <v>1036.1712055363651</v>
      </c>
      <c r="AF320" s="28">
        <f>(Table1[[#This Row],[P (+ shock)]]+Table1[[#This Row],[P (-shock)]]-2*Table1[[#This Row],[Ask Price]])/(2*Table1[[#This Row],[Ask Price]]*($AE$2^2))</f>
        <v>2.3946272886696747</v>
      </c>
    </row>
    <row r="321" spans="1:32" x14ac:dyDescent="0.25">
      <c r="A321" s="21" t="s">
        <v>688</v>
      </c>
      <c r="B321" s="3" t="s">
        <v>689</v>
      </c>
      <c r="C321" s="3" t="s">
        <v>19</v>
      </c>
      <c r="D321" s="4">
        <v>44680</v>
      </c>
      <c r="E321" s="4">
        <v>46506</v>
      </c>
      <c r="F321" s="3">
        <v>1000</v>
      </c>
      <c r="G321" s="3" t="s">
        <v>20</v>
      </c>
      <c r="H321" s="3">
        <v>1007.8</v>
      </c>
      <c r="I321" s="3" t="s">
        <v>20</v>
      </c>
      <c r="J321" s="3">
        <v>100.78</v>
      </c>
      <c r="K321" s="3">
        <v>181</v>
      </c>
      <c r="L321" s="5">
        <v>9.5500000000000002E-2</v>
      </c>
      <c r="M321" s="3" t="s">
        <v>21</v>
      </c>
      <c r="N321" s="3">
        <v>589</v>
      </c>
      <c r="O321" s="6">
        <f>Table1[[#This Row],[Current coupon %]]*Table1[[#This Row],[Face value]]/Table1[[#This Row],[Ask Price]]</f>
        <v>9.4760865251041881E-2</v>
      </c>
      <c r="P321" s="3"/>
      <c r="Q321" s="3" t="s">
        <v>22</v>
      </c>
      <c r="R321">
        <f t="shared" si="4"/>
        <v>5</v>
      </c>
      <c r="S321" s="22" cm="1">
        <f t="array" ref="S321">_xlfn.IFS(Table1[[#This Row],[Coupon frequency]]="Semi-annual",2,Table1[[#This Row],[Coupon frequency]]="Quarterly",4,Table1[[#This Row],[Coupon frequency]]="Annual",1,Table1[[#This Row],[Coupon frequency]]="Every 4 months",3,Table1[[#This Row],[Coupon frequency]]="Monthly",12)</f>
        <v>1</v>
      </c>
      <c r="T321">
        <f>Table1[[#This Row],[Term to Maturity (Years)]]*Table1[[#This Row],[Coupon Frequency2]]</f>
        <v>5</v>
      </c>
      <c r="U321">
        <f>Table1[[#This Row],[Face value]]*Table1[[#This Row],[Current coupon %]]/Table1[[#This Row],[Coupon Frequency2]]</f>
        <v>95.5</v>
      </c>
      <c r="V321" s="23">
        <f>RATE(Table1[[#This Row],[Total No. of Coupons]],Table1[[#This Row],[Coupon Amount]],-Table1[[#This Row],[Ask Price]],Table1[[#This Row],[Face value]])</f>
        <v>9.3476557288458995E-2</v>
      </c>
      <c r="W321" s="24">
        <f>Table1[[#This Row],[IRR]]*Table1[[#This Row],[Coupon Frequency2]]</f>
        <v>9.3476557288458995E-2</v>
      </c>
      <c r="X321" s="25" cm="1">
        <f t="array" ref="X3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1" s="26">
        <f>DURATION(Table1[[#This Row],[Issue date]],Table1[[#This Row],[Maturity date]],Table1[[#This Row],[Current coupon %]],Table1[[#This Row],[Yield (Annualised)]],Table1[[#This Row],[Coupon Frequency2]])</f>
        <v>4.2043679674654548</v>
      </c>
      <c r="Z321" s="26">
        <f>Table1[[#This Row],[Macaulay Duration in Years]]/(1+Table1[[#This Row],[IRR]])</f>
        <v>3.8449548272815353</v>
      </c>
      <c r="AA321" s="27">
        <f>VLOOKUP(Table1[[#This Row],[Yield Cluster]],'[1]Cluster Details'!$B$3:$C$16,2,0)</f>
        <v>7.8548801574189142E-2</v>
      </c>
      <c r="AB321" s="28">
        <f>PRICE(Table1[[#This Row],[Issue date]],Table1[[#This Row],[Maturity date]],Table1[[#This Row],[Current coupon %]],Table1[[#This Row],[Average Cluster Yield]],100,Table1[[#This Row],[Coupon Frequency2]])*Table1[[#This Row],[Face value]]/100</f>
        <v>1067.9408802618509</v>
      </c>
      <c r="AC321" s="27" t="str">
        <f>IF(Table1[[#This Row],[Ask Price]]&gt;Table1[[#This Row],[Calculated Bond Price]],"Rich","Cheap")</f>
        <v>Cheap</v>
      </c>
      <c r="AD321" s="28">
        <f>PRICE(Table1[[#This Row],[Issue date]],Table1[[#This Row],[Maturity date]],Table1[[#This Row],[Current coupon %]],Table1[[#This Row],[Yield (Annualised)]]+$AE$2,100,Table1[[#This Row],[Coupon Frequency2]])*Table1[[#This Row],[Face value]]/100</f>
        <v>970.02921987437253</v>
      </c>
      <c r="AE321" s="28">
        <f>PRICE(Table1[[#This Row],[Issue date]],Table1[[#This Row],[Maturity date]],Table1[[#This Row],[Current coupon %]],Table1[[#This Row],[Yield (Annualised)]]-$AE$2,100,Table1[[#This Row],[Coupon Frequency2]])*Table1[[#This Row],[Face value]]/100</f>
        <v>1047.5694422039544</v>
      </c>
      <c r="AF321" s="28">
        <f>(Table1[[#This Row],[P (+ shock)]]+Table1[[#This Row],[P (-shock)]]-2*Table1[[#This Row],[Ask Price]])/(2*Table1[[#This Row],[Ask Price]]*($AE$2^2))</f>
        <v>9.9159658579431209</v>
      </c>
    </row>
    <row r="322" spans="1:32" x14ac:dyDescent="0.25">
      <c r="A322" s="21" t="s">
        <v>690</v>
      </c>
      <c r="B322" s="3" t="s">
        <v>691</v>
      </c>
      <c r="C322" s="3" t="s">
        <v>19</v>
      </c>
      <c r="D322" s="4">
        <v>45455</v>
      </c>
      <c r="E322" s="4">
        <v>49107</v>
      </c>
      <c r="F322" s="3">
        <v>1000</v>
      </c>
      <c r="G322" s="3" t="s">
        <v>20</v>
      </c>
      <c r="H322" s="3">
        <v>1040</v>
      </c>
      <c r="I322" s="3" t="s">
        <v>20</v>
      </c>
      <c r="J322" s="3">
        <v>104</v>
      </c>
      <c r="K322" s="3">
        <v>10</v>
      </c>
      <c r="L322" s="5">
        <v>9.849999999999999E-2</v>
      </c>
      <c r="M322" s="3" t="s">
        <v>21</v>
      </c>
      <c r="N322" s="3">
        <v>3190</v>
      </c>
      <c r="O322" s="6">
        <f>Table1[[#This Row],[Current coupon %]]*Table1[[#This Row],[Face value]]/Table1[[#This Row],[Ask Price]]</f>
        <v>9.4711538461538444E-2</v>
      </c>
      <c r="P322" s="3"/>
      <c r="Q322" s="3" t="s">
        <v>22</v>
      </c>
      <c r="R322">
        <f t="shared" si="4"/>
        <v>10</v>
      </c>
      <c r="S322" s="22" cm="1">
        <f t="array" ref="S322">_xlfn.IFS(Table1[[#This Row],[Coupon frequency]]="Semi-annual",2,Table1[[#This Row],[Coupon frequency]]="Quarterly",4,Table1[[#This Row],[Coupon frequency]]="Annual",1,Table1[[#This Row],[Coupon frequency]]="Every 4 months",3,Table1[[#This Row],[Coupon frequency]]="Monthly",12)</f>
        <v>1</v>
      </c>
      <c r="T322">
        <f>Table1[[#This Row],[Term to Maturity (Years)]]*Table1[[#This Row],[Coupon Frequency2]]</f>
        <v>10</v>
      </c>
      <c r="U322">
        <f>Table1[[#This Row],[Face value]]*Table1[[#This Row],[Current coupon %]]/Table1[[#This Row],[Coupon Frequency2]]</f>
        <v>98.499999999999986</v>
      </c>
      <c r="V322" s="23">
        <f>RATE(Table1[[#This Row],[Total No. of Coupons]],Table1[[#This Row],[Coupon Amount]],-Table1[[#This Row],[Ask Price]],Table1[[#This Row],[Face value]])</f>
        <v>9.2206530574032053E-2</v>
      </c>
      <c r="W322" s="24">
        <f>Table1[[#This Row],[IRR]]*Table1[[#This Row],[Coupon Frequency2]]</f>
        <v>9.2206530574032053E-2</v>
      </c>
      <c r="X322" s="25" cm="1">
        <f t="array" ref="X3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2" s="26">
        <f>DURATION(Table1[[#This Row],[Issue date]],Table1[[#This Row],[Maturity date]],Table1[[#This Row],[Current coupon %]],Table1[[#This Row],[Yield (Annualised)]],Table1[[#This Row],[Coupon Frequency2]])</f>
        <v>6.8587584275914928</v>
      </c>
      <c r="Z322" s="26">
        <f>Table1[[#This Row],[Macaulay Duration in Years]]/(1+Table1[[#This Row],[IRR]])</f>
        <v>6.2797266227539659</v>
      </c>
      <c r="AA322" s="27">
        <f>VLOOKUP(Table1[[#This Row],[Yield Cluster]],'[1]Cluster Details'!$B$3:$C$16,2,0)</f>
        <v>7.8548801574189142E-2</v>
      </c>
      <c r="AB322" s="28">
        <f>PRICE(Table1[[#This Row],[Issue date]],Table1[[#This Row],[Maturity date]],Table1[[#This Row],[Current coupon %]],Table1[[#This Row],[Average Cluster Yield]],100,Table1[[#This Row],[Coupon Frequency2]])*Table1[[#This Row],[Face value]]/100</f>
        <v>1134.7548948227723</v>
      </c>
      <c r="AC322" s="27" t="str">
        <f>IF(Table1[[#This Row],[Ask Price]]&gt;Table1[[#This Row],[Calculated Bond Price]],"Rich","Cheap")</f>
        <v>Cheap</v>
      </c>
      <c r="AD322" s="28">
        <f>PRICE(Table1[[#This Row],[Issue date]],Table1[[#This Row],[Maturity date]],Table1[[#This Row],[Current coupon %]],Table1[[#This Row],[Yield (Annualised)]]+$AE$2,100,Table1[[#This Row],[Coupon Frequency2]])*Table1[[#This Row],[Face value]]/100</f>
        <v>977.43926697784127</v>
      </c>
      <c r="AE322" s="28">
        <f>PRICE(Table1[[#This Row],[Issue date]],Table1[[#This Row],[Maturity date]],Table1[[#This Row],[Current coupon %]],Table1[[#This Row],[Yield (Annualised)]]-$AE$2,100,Table1[[#This Row],[Coupon Frequency2]])*Table1[[#This Row],[Face value]]/100</f>
        <v>1108.2506946006727</v>
      </c>
      <c r="AF322" s="28">
        <f>(Table1[[#This Row],[P (+ shock)]]+Table1[[#This Row],[P (-shock)]]-2*Table1[[#This Row],[Ask Price]])/(2*Table1[[#This Row],[Ask Price]]*($AE$2^2))</f>
        <v>27.355584512087294</v>
      </c>
    </row>
    <row r="323" spans="1:32" x14ac:dyDescent="0.25">
      <c r="A323" s="21" t="s">
        <v>692</v>
      </c>
      <c r="B323" s="3" t="s">
        <v>693</v>
      </c>
      <c r="C323" s="3" t="s">
        <v>19</v>
      </c>
      <c r="D323" s="4">
        <v>43074</v>
      </c>
      <c r="E323" s="4">
        <v>46680</v>
      </c>
      <c r="F323" s="3">
        <v>1000000</v>
      </c>
      <c r="G323" s="3" t="s">
        <v>20</v>
      </c>
      <c r="H323" s="3">
        <v>1030000</v>
      </c>
      <c r="I323" s="3" t="s">
        <v>20</v>
      </c>
      <c r="J323" s="3">
        <v>103</v>
      </c>
      <c r="K323" s="3">
        <v>2</v>
      </c>
      <c r="L323" s="5">
        <v>9.7500000000000003E-2</v>
      </c>
      <c r="M323" s="3" t="s">
        <v>44</v>
      </c>
      <c r="N323" s="3">
        <v>763</v>
      </c>
      <c r="O323" s="6">
        <f>Table1[[#This Row],[Current coupon %]]*Table1[[#This Row],[Face value]]/Table1[[#This Row],[Ask Price]]</f>
        <v>9.4660194174757281E-2</v>
      </c>
      <c r="P323" s="3"/>
      <c r="Q323" s="3" t="s">
        <v>22</v>
      </c>
      <c r="R323">
        <f t="shared" si="4"/>
        <v>10</v>
      </c>
      <c r="S323" s="22" cm="1">
        <f t="array" ref="S323">_xlfn.IFS(Table1[[#This Row],[Coupon frequency]]="Semi-annual",2,Table1[[#This Row],[Coupon frequency]]="Quarterly",4,Table1[[#This Row],[Coupon frequency]]="Annual",1,Table1[[#This Row],[Coupon frequency]]="Every 4 months",3,Table1[[#This Row],[Coupon frequency]]="Monthly",12)</f>
        <v>4</v>
      </c>
      <c r="T323">
        <f>Table1[[#This Row],[Term to Maturity (Years)]]*Table1[[#This Row],[Coupon Frequency2]]</f>
        <v>40</v>
      </c>
      <c r="U323">
        <f>Table1[[#This Row],[Face value]]*Table1[[#This Row],[Current coupon %]]/Table1[[#This Row],[Coupon Frequency2]]</f>
        <v>24375</v>
      </c>
      <c r="V323" s="23">
        <f>RATE(Table1[[#This Row],[Total No. of Coupons]],Table1[[#This Row],[Coupon Amount]],-Table1[[#This Row],[Ask Price]],Table1[[#This Row],[Face value]])</f>
        <v>2.3215547827907274E-2</v>
      </c>
      <c r="W323" s="24">
        <f>Table1[[#This Row],[IRR]]*Table1[[#This Row],[Coupon Frequency2]]</f>
        <v>9.2862191311629094E-2</v>
      </c>
      <c r="X323" s="25" cm="1">
        <f t="array" ref="X3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3" s="26">
        <f>DURATION(Table1[[#This Row],[Issue date]],Table1[[#This Row],[Maturity date]],Table1[[#This Row],[Current coupon %]],Table1[[#This Row],[Yield (Annualised)]],Table1[[#This Row],[Coupon Frequency2]])</f>
        <v>6.4282754967132645</v>
      </c>
      <c r="Z323" s="26">
        <f>Table1[[#This Row],[Macaulay Duration in Years]]/(1+Table1[[#This Row],[IRR]])</f>
        <v>6.2824255459754061</v>
      </c>
      <c r="AA323" s="27">
        <f>VLOOKUP(Table1[[#This Row],[Yield Cluster]],'[1]Cluster Details'!$B$3:$C$16,2,0)</f>
        <v>7.8548801574189142E-2</v>
      </c>
      <c r="AB323" s="28">
        <f>PRICE(Table1[[#This Row],[Issue date]],Table1[[#This Row],[Maturity date]],Table1[[#This Row],[Current coupon %]],Table1[[#This Row],[Average Cluster Yield]],100,Table1[[#This Row],[Coupon Frequency2]])*Table1[[#This Row],[Face value]]/100</f>
        <v>1129291.0678526571</v>
      </c>
      <c r="AC323" s="27" t="str">
        <f>IF(Table1[[#This Row],[Ask Price]]&gt;Table1[[#This Row],[Calculated Bond Price]],"Rich","Cheap")</f>
        <v>Cheap</v>
      </c>
      <c r="AD323" s="28">
        <f>PRICE(Table1[[#This Row],[Issue date]],Table1[[#This Row],[Maturity date]],Table1[[#This Row],[Current coupon %]],Table1[[#This Row],[Yield (Annualised)]]+$AE$2,100,Table1[[#This Row],[Coupon Frequency2]])*Table1[[#This Row],[Face value]]/100</f>
        <v>966914.30457733583</v>
      </c>
      <c r="AE323" s="28">
        <f>PRICE(Table1[[#This Row],[Issue date]],Table1[[#This Row],[Maturity date]],Table1[[#This Row],[Current coupon %]],Table1[[#This Row],[Yield (Annualised)]]-$AE$2,100,Table1[[#This Row],[Coupon Frequency2]])*Table1[[#This Row],[Face value]]/100</f>
        <v>1097997.1633593894</v>
      </c>
      <c r="AF323" s="28">
        <f>(Table1[[#This Row],[P (+ shock)]]+Table1[[#This Row],[P (-shock)]]-2*Table1[[#This Row],[Ask Price]])/(2*Table1[[#This Row],[Ask Price]]*($AE$2^2))</f>
        <v>23.842077362744444</v>
      </c>
    </row>
    <row r="324" spans="1:32" x14ac:dyDescent="0.25">
      <c r="A324" s="21" t="s">
        <v>694</v>
      </c>
      <c r="B324" s="3" t="s">
        <v>695</v>
      </c>
      <c r="C324" s="3" t="s">
        <v>19</v>
      </c>
      <c r="D324" s="4">
        <v>45560</v>
      </c>
      <c r="E324" s="4">
        <v>46290</v>
      </c>
      <c r="F324" s="3">
        <v>1000</v>
      </c>
      <c r="G324" s="3" t="s">
        <v>20</v>
      </c>
      <c r="H324" s="3">
        <v>1109.52</v>
      </c>
      <c r="I324" s="3" t="s">
        <v>20</v>
      </c>
      <c r="J324" s="3">
        <v>110.952</v>
      </c>
      <c r="K324" s="3">
        <v>5</v>
      </c>
      <c r="L324" s="5">
        <v>0.105</v>
      </c>
      <c r="M324" s="3" t="s">
        <v>21</v>
      </c>
      <c r="N324" s="3">
        <v>373</v>
      </c>
      <c r="O324" s="6">
        <f>Table1[[#This Row],[Current coupon %]]*Table1[[#This Row],[Face value]]/Table1[[#This Row],[Ask Price]]</f>
        <v>9.4635518061864599E-2</v>
      </c>
      <c r="P324" s="3"/>
      <c r="Q324" s="3" t="s">
        <v>22</v>
      </c>
      <c r="R324">
        <f t="shared" ref="R324:R387" si="5">ROUND(YEARFRAC(D324,E324),0)</f>
        <v>2</v>
      </c>
      <c r="S324" s="22" cm="1">
        <f t="array" ref="S324">_xlfn.IFS(Table1[[#This Row],[Coupon frequency]]="Semi-annual",2,Table1[[#This Row],[Coupon frequency]]="Quarterly",4,Table1[[#This Row],[Coupon frequency]]="Annual",1,Table1[[#This Row],[Coupon frequency]]="Every 4 months",3,Table1[[#This Row],[Coupon frequency]]="Monthly",12)</f>
        <v>1</v>
      </c>
      <c r="T324">
        <f>Table1[[#This Row],[Term to Maturity (Years)]]*Table1[[#This Row],[Coupon Frequency2]]</f>
        <v>2</v>
      </c>
      <c r="U324">
        <f>Table1[[#This Row],[Face value]]*Table1[[#This Row],[Current coupon %]]/Table1[[#This Row],[Coupon Frequency2]]</f>
        <v>105</v>
      </c>
      <c r="V324" s="23">
        <f>RATE(Table1[[#This Row],[Total No. of Coupons]],Table1[[#This Row],[Coupon Amount]],-Table1[[#This Row],[Ask Price]],Table1[[#This Row],[Face value]])</f>
        <v>4.6399906099308129E-2</v>
      </c>
      <c r="W324" s="24">
        <f>Table1[[#This Row],[IRR]]*Table1[[#This Row],[Coupon Frequency2]]</f>
        <v>4.6399906099308129E-2</v>
      </c>
      <c r="X324" s="25" cm="1">
        <f t="array" ref="X3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324" s="26">
        <f>DURATION(Table1[[#This Row],[Issue date]],Table1[[#This Row],[Maturity date]],Table1[[#This Row],[Current coupon %]],Table1[[#This Row],[Yield (Annualised)]],Table1[[#This Row],[Coupon Frequency2]])</f>
        <v>1.9095608500054997</v>
      </c>
      <c r="Z324" s="26">
        <f>Table1[[#This Row],[Macaulay Duration in Years]]/(1+Table1[[#This Row],[IRR]])</f>
        <v>1.8248862971746804</v>
      </c>
      <c r="AA324" s="27">
        <f>VLOOKUP(Table1[[#This Row],[Yield Cluster]],'[1]Cluster Details'!$B$3:$C$16,2,0)</f>
        <v>3.4641747232266588E-2</v>
      </c>
      <c r="AB324" s="28">
        <f>PRICE(Table1[[#This Row],[Issue date]],Table1[[#This Row],[Maturity date]],Table1[[#This Row],[Current coupon %]],Table1[[#This Row],[Average Cluster Yield]],100,Table1[[#This Row],[Coupon Frequency2]])*Table1[[#This Row],[Face value]]/100</f>
        <v>1133.7282006778157</v>
      </c>
      <c r="AC324" s="27" t="str">
        <f>IF(Table1[[#This Row],[Ask Price]]&gt;Table1[[#This Row],[Calculated Bond Price]],"Rich","Cheap")</f>
        <v>Cheap</v>
      </c>
      <c r="AD324" s="28">
        <f>PRICE(Table1[[#This Row],[Issue date]],Table1[[#This Row],[Maturity date]],Table1[[#This Row],[Current coupon %]],Table1[[#This Row],[Yield (Annualised)]]+$AE$2,100,Table1[[#This Row],[Coupon Frequency2]])*Table1[[#This Row],[Face value]]/100</f>
        <v>1089.5546159683968</v>
      </c>
      <c r="AE324" s="28">
        <f>PRICE(Table1[[#This Row],[Issue date]],Table1[[#This Row],[Maturity date]],Table1[[#This Row],[Current coupon %]],Table1[[#This Row],[Yield (Annualised)]]-$AE$2,100,Table1[[#This Row],[Coupon Frequency2]])*Table1[[#This Row],[Face value]]/100</f>
        <v>1130.0567953394195</v>
      </c>
      <c r="AF324" s="28">
        <f>(Table1[[#This Row],[P (+ shock)]]+Table1[[#This Row],[P (-shock)]]-2*Table1[[#This Row],[Ask Price]])/(2*Table1[[#This Row],[Ask Price]]*($AE$2^2))</f>
        <v>2.5750383400775152</v>
      </c>
    </row>
    <row r="325" spans="1:32" x14ac:dyDescent="0.25">
      <c r="A325" s="21" t="s">
        <v>696</v>
      </c>
      <c r="B325" s="3" t="s">
        <v>697</v>
      </c>
      <c r="C325" s="3" t="s">
        <v>19</v>
      </c>
      <c r="D325" s="4">
        <v>45499</v>
      </c>
      <c r="E325" s="4">
        <v>46594</v>
      </c>
      <c r="F325" s="3">
        <v>1000</v>
      </c>
      <c r="G325" s="3" t="s">
        <v>20</v>
      </c>
      <c r="H325" s="3">
        <v>1000</v>
      </c>
      <c r="I325" s="3" t="s">
        <v>20</v>
      </c>
      <c r="J325" s="3">
        <v>100</v>
      </c>
      <c r="K325" s="3">
        <v>55</v>
      </c>
      <c r="L325" s="5">
        <v>0.1</v>
      </c>
      <c r="M325" s="3" t="s">
        <v>21</v>
      </c>
      <c r="N325" s="3">
        <v>677</v>
      </c>
      <c r="O325" s="6">
        <f>Table1[[#This Row],[Current coupon %]]*Table1[[#This Row],[Face value]]/Table1[[#This Row],[Ask Price]]</f>
        <v>0.1</v>
      </c>
      <c r="P325" s="3"/>
      <c r="Q325" s="3" t="s">
        <v>22</v>
      </c>
      <c r="R325">
        <f t="shared" si="5"/>
        <v>3</v>
      </c>
      <c r="S325" s="22" cm="1">
        <f t="array" ref="S325">_xlfn.IFS(Table1[[#This Row],[Coupon frequency]]="Semi-annual",2,Table1[[#This Row],[Coupon frequency]]="Quarterly",4,Table1[[#This Row],[Coupon frequency]]="Annual",1,Table1[[#This Row],[Coupon frequency]]="Every 4 months",3,Table1[[#This Row],[Coupon frequency]]="Monthly",12)</f>
        <v>1</v>
      </c>
      <c r="T325">
        <f>Table1[[#This Row],[Term to Maturity (Years)]]*Table1[[#This Row],[Coupon Frequency2]]</f>
        <v>3</v>
      </c>
      <c r="U325">
        <f>Table1[[#This Row],[Face value]]*Table1[[#This Row],[Current coupon %]]/Table1[[#This Row],[Coupon Frequency2]]</f>
        <v>100</v>
      </c>
      <c r="V325" s="23">
        <f>RATE(Table1[[#This Row],[Total No. of Coupons]],Table1[[#This Row],[Coupon Amount]],-Table1[[#This Row],[Ask Price]],Table1[[#This Row],[Face value]])</f>
        <v>0.1</v>
      </c>
      <c r="W325" s="24">
        <f>Table1[[#This Row],[IRR]]*Table1[[#This Row],[Coupon Frequency2]]</f>
        <v>0.1</v>
      </c>
      <c r="X325" s="25" cm="1">
        <f t="array" ref="X3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25" s="26">
        <f>DURATION(Table1[[#This Row],[Issue date]],Table1[[#This Row],[Maturity date]],Table1[[#This Row],[Current coupon %]],Table1[[#This Row],[Yield (Annualised)]],Table1[[#This Row],[Coupon Frequency2]])</f>
        <v>2.7355371900826451</v>
      </c>
      <c r="Z325" s="26">
        <f>Table1[[#This Row],[Macaulay Duration in Years]]/(1+Table1[[#This Row],[IRR]])</f>
        <v>2.4868519909842224</v>
      </c>
      <c r="AA325" s="27">
        <f>VLOOKUP(Table1[[#This Row],[Yield Cluster]],'[1]Cluster Details'!$B$3:$C$16,2,0)</f>
        <v>0.11069942689191503</v>
      </c>
      <c r="AB325" s="28">
        <f>PRICE(Table1[[#This Row],[Issue date]],Table1[[#This Row],[Maturity date]],Table1[[#This Row],[Current coupon %]],Table1[[#This Row],[Average Cluster Yield]],100,Table1[[#This Row],[Coupon Frequency2]])*Table1[[#This Row],[Face value]]/100</f>
        <v>973.88542649689816</v>
      </c>
      <c r="AC325" s="27" t="str">
        <f>IF(Table1[[#This Row],[Ask Price]]&gt;Table1[[#This Row],[Calculated Bond Price]],"Rich","Cheap")</f>
        <v>Rich</v>
      </c>
      <c r="AD325" s="28">
        <f>PRICE(Table1[[#This Row],[Issue date]],Table1[[#This Row],[Maturity date]],Table1[[#This Row],[Current coupon %]],Table1[[#This Row],[Yield (Annualised)]]+$AE$2,100,Table1[[#This Row],[Coupon Frequency2]])*Table1[[#This Row],[Face value]]/100</f>
        <v>975.56285284554076</v>
      </c>
      <c r="AE325" s="28">
        <f>PRICE(Table1[[#This Row],[Issue date]],Table1[[#This Row],[Maturity date]],Table1[[#This Row],[Current coupon %]],Table1[[#This Row],[Yield (Annualised)]]-$AE$2,100,Table1[[#This Row],[Coupon Frequency2]])*Table1[[#This Row],[Face value]]/100</f>
        <v>1025.3129466598816</v>
      </c>
      <c r="AF325" s="28">
        <f>(Table1[[#This Row],[P (+ shock)]]+Table1[[#This Row],[P (-shock)]]-2*Table1[[#This Row],[Ask Price]])/(2*Table1[[#This Row],[Ask Price]]*($AE$2^2))</f>
        <v>4.3789975271124604</v>
      </c>
    </row>
    <row r="326" spans="1:32" x14ac:dyDescent="0.25">
      <c r="A326" s="21" t="s">
        <v>698</v>
      </c>
      <c r="B326" s="3" t="s">
        <v>699</v>
      </c>
      <c r="C326" s="3" t="s">
        <v>19</v>
      </c>
      <c r="D326" s="4">
        <v>44726</v>
      </c>
      <c r="E326" s="4">
        <v>46171</v>
      </c>
      <c r="F326" s="3">
        <v>1000000</v>
      </c>
      <c r="G326" s="3" t="s">
        <v>20</v>
      </c>
      <c r="H326" s="3">
        <v>1017000</v>
      </c>
      <c r="I326" s="3" t="s">
        <v>20</v>
      </c>
      <c r="J326" s="3">
        <v>101.69999999999899</v>
      </c>
      <c r="K326" s="3">
        <v>1</v>
      </c>
      <c r="L326" s="5">
        <v>9.6199999999999994E-2</v>
      </c>
      <c r="M326" s="3" t="s">
        <v>44</v>
      </c>
      <c r="N326" s="3">
        <v>254</v>
      </c>
      <c r="O326" s="6">
        <f>Table1[[#This Row],[Current coupon %]]*Table1[[#This Row],[Face value]]/Table1[[#This Row],[Ask Price]]</f>
        <v>9.459193706981317E-2</v>
      </c>
      <c r="P326" s="3"/>
      <c r="Q326" s="3" t="s">
        <v>22</v>
      </c>
      <c r="R326">
        <f t="shared" si="5"/>
        <v>4</v>
      </c>
      <c r="S326" s="22" cm="1">
        <f t="array" ref="S326">_xlfn.IFS(Table1[[#This Row],[Coupon frequency]]="Semi-annual",2,Table1[[#This Row],[Coupon frequency]]="Quarterly",4,Table1[[#This Row],[Coupon frequency]]="Annual",1,Table1[[#This Row],[Coupon frequency]]="Every 4 months",3,Table1[[#This Row],[Coupon frequency]]="Monthly",12)</f>
        <v>4</v>
      </c>
      <c r="T326">
        <f>Table1[[#This Row],[Term to Maturity (Years)]]*Table1[[#This Row],[Coupon Frequency2]]</f>
        <v>16</v>
      </c>
      <c r="U326">
        <f>Table1[[#This Row],[Face value]]*Table1[[#This Row],[Current coupon %]]/Table1[[#This Row],[Coupon Frequency2]]</f>
        <v>24050</v>
      </c>
      <c r="V326" s="23">
        <f>RATE(Table1[[#This Row],[Total No. of Coupons]],Table1[[#This Row],[Coupon Amount]],-Table1[[#This Row],[Ask Price]],Table1[[#This Row],[Face value]])</f>
        <v>2.277030556424757E-2</v>
      </c>
      <c r="W326" s="24">
        <f>Table1[[#This Row],[IRR]]*Table1[[#This Row],[Coupon Frequency2]]</f>
        <v>9.108122225699028E-2</v>
      </c>
      <c r="X326" s="25" cm="1">
        <f t="array" ref="X3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6" s="26">
        <f>DURATION(Table1[[#This Row],[Issue date]],Table1[[#This Row],[Maturity date]],Table1[[#This Row],[Current coupon %]],Table1[[#This Row],[Yield (Annualised)]],Table1[[#This Row],[Coupon Frequency2]])</f>
        <v>3.3318081866914304</v>
      </c>
      <c r="Z326" s="26">
        <f>Table1[[#This Row],[Macaulay Duration in Years]]/(1+Table1[[#This Row],[IRR]])</f>
        <v>3.257630934888474</v>
      </c>
      <c r="AA326" s="27">
        <f>VLOOKUP(Table1[[#This Row],[Yield Cluster]],'[1]Cluster Details'!$B$3:$C$16,2,0)</f>
        <v>7.8548801574189142E-2</v>
      </c>
      <c r="AB326" s="28">
        <f>PRICE(Table1[[#This Row],[Issue date]],Table1[[#This Row],[Maturity date]],Table1[[#This Row],[Current coupon %]],Table1[[#This Row],[Average Cluster Yield]],100,Table1[[#This Row],[Coupon Frequency2]])*Table1[[#This Row],[Face value]]/100</f>
        <v>1059521.4032555406</v>
      </c>
      <c r="AC326" s="27" t="str">
        <f>IF(Table1[[#This Row],[Ask Price]]&gt;Table1[[#This Row],[Calculated Bond Price]],"Rich","Cheap")</f>
        <v>Cheap</v>
      </c>
      <c r="AD326" s="28">
        <f>PRICE(Table1[[#This Row],[Issue date]],Table1[[#This Row],[Maturity date]],Table1[[#This Row],[Current coupon %]],Table1[[#This Row],[Yield (Annualised)]]+$AE$2,100,Table1[[#This Row],[Coupon Frequency2]])*Table1[[#This Row],[Face value]]/100</f>
        <v>984195.81671020645</v>
      </c>
      <c r="AE326" s="28">
        <f>PRICE(Table1[[#This Row],[Issue date]],Table1[[#This Row],[Maturity date]],Table1[[#This Row],[Current coupon %]],Table1[[#This Row],[Yield (Annualised)]]-$AE$2,100,Table1[[#This Row],[Coupon Frequency2]])*Table1[[#This Row],[Face value]]/100</f>
        <v>1050723.3050021117</v>
      </c>
      <c r="AF326" s="28">
        <f>(Table1[[#This Row],[P (+ shock)]]+Table1[[#This Row],[P (-shock)]]-2*Table1[[#This Row],[Ask Price]])/(2*Table1[[#This Row],[Ask Price]]*($AE$2^2))</f>
        <v>4.5187891461069611</v>
      </c>
    </row>
    <row r="327" spans="1:32" x14ac:dyDescent="0.25">
      <c r="A327" s="21" t="s">
        <v>700</v>
      </c>
      <c r="B327" s="3" t="s">
        <v>701</v>
      </c>
      <c r="C327" s="3" t="s">
        <v>19</v>
      </c>
      <c r="D327" s="4">
        <v>45455</v>
      </c>
      <c r="E327" s="4">
        <v>46550</v>
      </c>
      <c r="F327" s="3">
        <v>1000</v>
      </c>
      <c r="G327" s="3" t="s">
        <v>20</v>
      </c>
      <c r="H327" s="3">
        <v>1009.8</v>
      </c>
      <c r="I327" s="3" t="s">
        <v>20</v>
      </c>
      <c r="J327" s="3">
        <v>100.98</v>
      </c>
      <c r="K327" s="3">
        <v>10</v>
      </c>
      <c r="L327" s="5">
        <v>9.5500000000000002E-2</v>
      </c>
      <c r="M327" s="3" t="s">
        <v>21</v>
      </c>
      <c r="N327" s="3">
        <v>633</v>
      </c>
      <c r="O327" s="6">
        <f>Table1[[#This Row],[Current coupon %]]*Table1[[#This Row],[Face value]]/Table1[[#This Row],[Ask Price]]</f>
        <v>9.457318280847693E-2</v>
      </c>
      <c r="P327" s="3"/>
      <c r="Q327" s="3" t="s">
        <v>22</v>
      </c>
      <c r="R327">
        <f t="shared" si="5"/>
        <v>3</v>
      </c>
      <c r="S327" s="22" cm="1">
        <f t="array" ref="S327">_xlfn.IFS(Table1[[#This Row],[Coupon frequency]]="Semi-annual",2,Table1[[#This Row],[Coupon frequency]]="Quarterly",4,Table1[[#This Row],[Coupon frequency]]="Annual",1,Table1[[#This Row],[Coupon frequency]]="Every 4 months",3,Table1[[#This Row],[Coupon frequency]]="Monthly",12)</f>
        <v>1</v>
      </c>
      <c r="T327">
        <f>Table1[[#This Row],[Term to Maturity (Years)]]*Table1[[#This Row],[Coupon Frequency2]]</f>
        <v>3</v>
      </c>
      <c r="U327">
        <f>Table1[[#This Row],[Face value]]*Table1[[#This Row],[Current coupon %]]/Table1[[#This Row],[Coupon Frequency2]]</f>
        <v>95.5</v>
      </c>
      <c r="V327" s="23">
        <f>RATE(Table1[[#This Row],[Total No. of Coupons]],Table1[[#This Row],[Coupon Amount]],-Table1[[#This Row],[Ask Price]],Table1[[#This Row],[Face value]])</f>
        <v>9.1617299161498633E-2</v>
      </c>
      <c r="W327" s="24">
        <f>Table1[[#This Row],[IRR]]*Table1[[#This Row],[Coupon Frequency2]]</f>
        <v>9.1617299161498633E-2</v>
      </c>
      <c r="X327" s="25" cm="1">
        <f t="array" ref="X3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7" s="26">
        <f>DURATION(Table1[[#This Row],[Issue date]],Table1[[#This Row],[Maturity date]],Table1[[#This Row],[Current coupon %]],Table1[[#This Row],[Yield (Annualised)]],Table1[[#This Row],[Coupon Frequency2]])</f>
        <v>2.747363653113188</v>
      </c>
      <c r="Z327" s="26">
        <f>Table1[[#This Row],[Macaulay Duration in Years]]/(1+Table1[[#This Row],[IRR]])</f>
        <v>2.5167828095281322</v>
      </c>
      <c r="AA327" s="27">
        <f>VLOOKUP(Table1[[#This Row],[Yield Cluster]],'[1]Cluster Details'!$B$3:$C$16,2,0)</f>
        <v>7.8548801574189142E-2</v>
      </c>
      <c r="AB327" s="28">
        <f>PRICE(Table1[[#This Row],[Issue date]],Table1[[#This Row],[Maturity date]],Table1[[#This Row],[Current coupon %]],Table1[[#This Row],[Average Cluster Yield]],100,Table1[[#This Row],[Coupon Frequency2]])*Table1[[#This Row],[Face value]]/100</f>
        <v>1043.7995259374036</v>
      </c>
      <c r="AC327" s="27" t="str">
        <f>IF(Table1[[#This Row],[Ask Price]]&gt;Table1[[#This Row],[Calculated Bond Price]],"Rich","Cheap")</f>
        <v>Cheap</v>
      </c>
      <c r="AD327" s="28">
        <f>PRICE(Table1[[#This Row],[Issue date]],Table1[[#This Row],[Maturity date]],Table1[[#This Row],[Current coupon %]],Table1[[#This Row],[Yield (Annualised)]]+$AE$2,100,Table1[[#This Row],[Coupon Frequency2]])*Table1[[#This Row],[Face value]]/100</f>
        <v>984.83039311467655</v>
      </c>
      <c r="AE327" s="28">
        <f>PRICE(Table1[[#This Row],[Issue date]],Table1[[#This Row],[Maturity date]],Table1[[#This Row],[Current coupon %]],Table1[[#This Row],[Yield (Annualised)]]-$AE$2,100,Table1[[#This Row],[Coupon Frequency2]])*Table1[[#This Row],[Face value]]/100</f>
        <v>1035.6729169944424</v>
      </c>
      <c r="AF327" s="28">
        <f>(Table1[[#This Row],[P (+ shock)]]+Table1[[#This Row],[P (-shock)]]-2*Table1[[#This Row],[Ask Price]])/(2*Table1[[#This Row],[Ask Price]]*($AE$2^2))</f>
        <v>4.4727179100764873</v>
      </c>
    </row>
    <row r="328" spans="1:32" x14ac:dyDescent="0.25">
      <c r="A328" s="21" t="s">
        <v>702</v>
      </c>
      <c r="B328" s="3" t="s">
        <v>703</v>
      </c>
      <c r="C328" s="3" t="s">
        <v>19</v>
      </c>
      <c r="D328" s="4">
        <v>44270</v>
      </c>
      <c r="E328" s="4">
        <v>46461</v>
      </c>
      <c r="F328" s="3">
        <v>1000</v>
      </c>
      <c r="G328" s="3" t="s">
        <v>20</v>
      </c>
      <c r="H328" s="3">
        <v>995.06</v>
      </c>
      <c r="I328" s="3" t="s">
        <v>20</v>
      </c>
      <c r="J328" s="3">
        <v>99.506</v>
      </c>
      <c r="K328" s="3">
        <v>580</v>
      </c>
      <c r="L328" s="5">
        <v>9.4E-2</v>
      </c>
      <c r="M328" s="3" t="s">
        <v>21</v>
      </c>
      <c r="N328" s="3">
        <v>544</v>
      </c>
      <c r="O328" s="6">
        <f>Table1[[#This Row],[Current coupon %]]*Table1[[#This Row],[Face value]]/Table1[[#This Row],[Ask Price]]</f>
        <v>9.4466665326713967E-2</v>
      </c>
      <c r="P328" s="3"/>
      <c r="Q328" s="3" t="s">
        <v>22</v>
      </c>
      <c r="R328">
        <f t="shared" si="5"/>
        <v>6</v>
      </c>
      <c r="S328" s="22" cm="1">
        <f t="array" ref="S328">_xlfn.IFS(Table1[[#This Row],[Coupon frequency]]="Semi-annual",2,Table1[[#This Row],[Coupon frequency]]="Quarterly",4,Table1[[#This Row],[Coupon frequency]]="Annual",1,Table1[[#This Row],[Coupon frequency]]="Every 4 months",3,Table1[[#This Row],[Coupon frequency]]="Monthly",12)</f>
        <v>1</v>
      </c>
      <c r="T328">
        <f>Table1[[#This Row],[Term to Maturity (Years)]]*Table1[[#This Row],[Coupon Frequency2]]</f>
        <v>6</v>
      </c>
      <c r="U328">
        <f>Table1[[#This Row],[Face value]]*Table1[[#This Row],[Current coupon %]]/Table1[[#This Row],[Coupon Frequency2]]</f>
        <v>94</v>
      </c>
      <c r="V328" s="23">
        <f>RATE(Table1[[#This Row],[Total No. of Coupons]],Table1[[#This Row],[Coupon Amount]],-Table1[[#This Row],[Ask Price]],Table1[[#This Row],[Face value]])</f>
        <v>9.5118081350735698E-2</v>
      </c>
      <c r="W328" s="24">
        <f>Table1[[#This Row],[IRR]]*Table1[[#This Row],[Coupon Frequency2]]</f>
        <v>9.5118081350735698E-2</v>
      </c>
      <c r="X328" s="25" cm="1">
        <f t="array" ref="X3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8" s="26">
        <f>DURATION(Table1[[#This Row],[Issue date]],Table1[[#This Row],[Maturity date]],Table1[[#This Row],[Current coupon %]],Table1[[#This Row],[Yield (Annualised)]],Table1[[#This Row],[Coupon Frequency2]])</f>
        <v>4.84649601840818</v>
      </c>
      <c r="Z328" s="26">
        <f>Table1[[#This Row],[Macaulay Duration in Years]]/(1+Table1[[#This Row],[IRR]])</f>
        <v>4.4255465241067302</v>
      </c>
      <c r="AA328" s="27">
        <f>VLOOKUP(Table1[[#This Row],[Yield Cluster]],'[1]Cluster Details'!$B$3:$C$16,2,0)</f>
        <v>7.8548801574189142E-2</v>
      </c>
      <c r="AB328" s="28">
        <f>PRICE(Table1[[#This Row],[Issue date]],Table1[[#This Row],[Maturity date]],Table1[[#This Row],[Current coupon %]],Table1[[#This Row],[Average Cluster Yield]],100,Table1[[#This Row],[Coupon Frequency2]])*Table1[[#This Row],[Face value]]/100</f>
        <v>1071.7445852870687</v>
      </c>
      <c r="AC328" s="27" t="str">
        <f>IF(Table1[[#This Row],[Ask Price]]&gt;Table1[[#This Row],[Calculated Bond Price]],"Rich","Cheap")</f>
        <v>Cheap</v>
      </c>
      <c r="AD328" s="28">
        <f>PRICE(Table1[[#This Row],[Issue date]],Table1[[#This Row],[Maturity date]],Table1[[#This Row],[Current coupon %]],Table1[[#This Row],[Yield (Annualised)]]+$AE$2,100,Table1[[#This Row],[Coupon Frequency2]])*Table1[[#This Row],[Face value]]/100</f>
        <v>952.29556814888247</v>
      </c>
      <c r="AE328" s="28">
        <f>PRICE(Table1[[#This Row],[Issue date]],Table1[[#This Row],[Maturity date]],Table1[[#This Row],[Current coupon %]],Table1[[#This Row],[Yield (Annualised)]]-$AE$2,100,Table1[[#This Row],[Coupon Frequency2]])*Table1[[#This Row],[Face value]]/100</f>
        <v>1040.4302322252076</v>
      </c>
      <c r="AF328" s="28">
        <f>(Table1[[#This Row],[P (+ shock)]]+Table1[[#This Row],[P (-shock)]]-2*Table1[[#This Row],[Ask Price]])/(2*Table1[[#This Row],[Ask Price]]*($AE$2^2))</f>
        <v>13.093684672734419</v>
      </c>
    </row>
    <row r="329" spans="1:32" x14ac:dyDescent="0.25">
      <c r="A329" s="21" t="s">
        <v>704</v>
      </c>
      <c r="B329" s="3" t="s">
        <v>705</v>
      </c>
      <c r="C329" s="3" t="s">
        <v>19</v>
      </c>
      <c r="D329" s="4">
        <v>45189</v>
      </c>
      <c r="E329" s="4">
        <v>47016</v>
      </c>
      <c r="F329" s="3">
        <v>1000</v>
      </c>
      <c r="G329" s="3" t="s">
        <v>20</v>
      </c>
      <c r="H329" s="3">
        <v>1000</v>
      </c>
      <c r="I329" s="3" t="s">
        <v>20</v>
      </c>
      <c r="J329" s="3">
        <v>100</v>
      </c>
      <c r="K329" s="3">
        <v>198</v>
      </c>
      <c r="L329" s="5">
        <v>9.4399999999999998E-2</v>
      </c>
      <c r="M329" s="3" t="s">
        <v>21</v>
      </c>
      <c r="N329" s="3">
        <v>1099</v>
      </c>
      <c r="O329" s="6">
        <f>Table1[[#This Row],[Current coupon %]]*Table1[[#This Row],[Face value]]/Table1[[#This Row],[Ask Price]]</f>
        <v>9.4399999999999998E-2</v>
      </c>
      <c r="P329" s="3"/>
      <c r="Q329" s="3" t="s">
        <v>22</v>
      </c>
      <c r="R329">
        <f t="shared" si="5"/>
        <v>5</v>
      </c>
      <c r="S329" s="22" cm="1">
        <f t="array" ref="S329">_xlfn.IFS(Table1[[#This Row],[Coupon frequency]]="Semi-annual",2,Table1[[#This Row],[Coupon frequency]]="Quarterly",4,Table1[[#This Row],[Coupon frequency]]="Annual",1,Table1[[#This Row],[Coupon frequency]]="Every 4 months",3,Table1[[#This Row],[Coupon frequency]]="Monthly",12)</f>
        <v>1</v>
      </c>
      <c r="T329">
        <f>Table1[[#This Row],[Term to Maturity (Years)]]*Table1[[#This Row],[Coupon Frequency2]]</f>
        <v>5</v>
      </c>
      <c r="U329">
        <f>Table1[[#This Row],[Face value]]*Table1[[#This Row],[Current coupon %]]/Table1[[#This Row],[Coupon Frequency2]]</f>
        <v>94.399999999999991</v>
      </c>
      <c r="V329" s="23">
        <f>RATE(Table1[[#This Row],[Total No. of Coupons]],Table1[[#This Row],[Coupon Amount]],-Table1[[#This Row],[Ask Price]],Table1[[#This Row],[Face value]])</f>
        <v>9.4400000000000261E-2</v>
      </c>
      <c r="W329" s="24">
        <f>Table1[[#This Row],[IRR]]*Table1[[#This Row],[Coupon Frequency2]]</f>
        <v>9.4400000000000261E-2</v>
      </c>
      <c r="X329" s="25" cm="1">
        <f t="array" ref="X3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29" s="26">
        <f>DURATION(Table1[[#This Row],[Issue date]],Table1[[#This Row],[Maturity date]],Table1[[#This Row],[Current coupon %]],Table1[[#This Row],[Yield (Annualised)]],Table1[[#This Row],[Coupon Frequency2]])</f>
        <v>4.208676582723391</v>
      </c>
      <c r="Z329" s="26">
        <f>Table1[[#This Row],[Macaulay Duration in Years]]/(1+Table1[[#This Row],[IRR]])</f>
        <v>3.8456474622837993</v>
      </c>
      <c r="AA329" s="27">
        <f>VLOOKUP(Table1[[#This Row],[Yield Cluster]],'[1]Cluster Details'!$B$3:$C$16,2,0)</f>
        <v>7.8548801574189142E-2</v>
      </c>
      <c r="AB329" s="28">
        <f>PRICE(Table1[[#This Row],[Issue date]],Table1[[#This Row],[Maturity date]],Table1[[#This Row],[Current coupon %]],Table1[[#This Row],[Average Cluster Yield]],100,Table1[[#This Row],[Coupon Frequency2]])*Table1[[#This Row],[Face value]]/100</f>
        <v>1063.532049310156</v>
      </c>
      <c r="AC329" s="27" t="str">
        <f>IF(Table1[[#This Row],[Ask Price]]&gt;Table1[[#This Row],[Calculated Bond Price]],"Rich","Cheap")</f>
        <v>Cheap</v>
      </c>
      <c r="AD329" s="28">
        <f>PRICE(Table1[[#This Row],[Issue date]],Table1[[#This Row],[Maturity date]],Table1[[#This Row],[Current coupon %]],Table1[[#This Row],[Yield (Annualised)]]+$AE$2,100,Table1[[#This Row],[Coupon Frequency2]])*Table1[[#This Row],[Face value]]/100</f>
        <v>962.51441933899036</v>
      </c>
      <c r="AE329" s="28">
        <f>PRICE(Table1[[#This Row],[Issue date]],Table1[[#This Row],[Maturity date]],Table1[[#This Row],[Current coupon %]],Table1[[#This Row],[Yield (Annualised)]]-$AE$2,100,Table1[[#This Row],[Coupon Frequency2]])*Table1[[#This Row],[Face value]]/100</f>
        <v>1039.4683278313837</v>
      </c>
      <c r="AF329" s="28">
        <f>(Table1[[#This Row],[P (+ shock)]]+Table1[[#This Row],[P (-shock)]]-2*Table1[[#This Row],[Ask Price]])/(2*Table1[[#This Row],[Ask Price]]*($AE$2^2))</f>
        <v>9.9137358518703422</v>
      </c>
    </row>
    <row r="330" spans="1:32" x14ac:dyDescent="0.25">
      <c r="A330" s="21" t="s">
        <v>706</v>
      </c>
      <c r="B330" s="3" t="s">
        <v>707</v>
      </c>
      <c r="C330" s="3" t="s">
        <v>19</v>
      </c>
      <c r="D330" s="4">
        <v>45637</v>
      </c>
      <c r="E330" s="4">
        <v>46367</v>
      </c>
      <c r="F330" s="3">
        <v>100000</v>
      </c>
      <c r="G330" s="3" t="s">
        <v>20</v>
      </c>
      <c r="H330" s="3">
        <v>100672.94</v>
      </c>
      <c r="I330" s="3" t="s">
        <v>20</v>
      </c>
      <c r="J330" s="3">
        <v>100.67294</v>
      </c>
      <c r="K330" s="3">
        <v>1</v>
      </c>
      <c r="L330" s="5">
        <v>9.5000000000000001E-2</v>
      </c>
      <c r="M330" s="3" t="s">
        <v>44</v>
      </c>
      <c r="N330" s="3">
        <v>450</v>
      </c>
      <c r="O330" s="6">
        <f>Table1[[#This Row],[Current coupon %]]*Table1[[#This Row],[Face value]]/Table1[[#This Row],[Ask Price]]</f>
        <v>9.4364980301558682E-2</v>
      </c>
      <c r="P330" s="3"/>
      <c r="Q330" s="3" t="s">
        <v>22</v>
      </c>
      <c r="R330">
        <f t="shared" si="5"/>
        <v>2</v>
      </c>
      <c r="S330" s="22" cm="1">
        <f t="array" ref="S330">_xlfn.IFS(Table1[[#This Row],[Coupon frequency]]="Semi-annual",2,Table1[[#This Row],[Coupon frequency]]="Quarterly",4,Table1[[#This Row],[Coupon frequency]]="Annual",1,Table1[[#This Row],[Coupon frequency]]="Every 4 months",3,Table1[[#This Row],[Coupon frequency]]="Monthly",12)</f>
        <v>4</v>
      </c>
      <c r="T330">
        <f>Table1[[#This Row],[Term to Maturity (Years)]]*Table1[[#This Row],[Coupon Frequency2]]</f>
        <v>8</v>
      </c>
      <c r="U330">
        <f>Table1[[#This Row],[Face value]]*Table1[[#This Row],[Current coupon %]]/Table1[[#This Row],[Coupon Frequency2]]</f>
        <v>2375</v>
      </c>
      <c r="V330" s="23">
        <f>RATE(Table1[[#This Row],[Total No. of Coupons]],Table1[[#This Row],[Coupon Amount]],-Table1[[#This Row],[Ask Price]],Table1[[#This Row],[Face value]])</f>
        <v>2.2820171426576573E-2</v>
      </c>
      <c r="W330" s="24">
        <f>Table1[[#This Row],[IRR]]*Table1[[#This Row],[Coupon Frequency2]]</f>
        <v>9.1280685706306292E-2</v>
      </c>
      <c r="X330" s="25" cm="1">
        <f t="array" ref="X3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0" s="26">
        <f>DURATION(Table1[[#This Row],[Issue date]],Table1[[#This Row],[Maturity date]],Table1[[#This Row],[Current coupon %]],Table1[[#This Row],[Yield (Annualised)]],Table1[[#This Row],[Coupon Frequency2]])</f>
        <v>1.8455527465996624</v>
      </c>
      <c r="Z330" s="26">
        <f>Table1[[#This Row],[Macaulay Duration in Years]]/(1+Table1[[#This Row],[IRR]])</f>
        <v>1.804376564089053</v>
      </c>
      <c r="AA330" s="27">
        <f>VLOOKUP(Table1[[#This Row],[Yield Cluster]],'[1]Cluster Details'!$B$3:$C$16,2,0)</f>
        <v>7.8548801574189142E-2</v>
      </c>
      <c r="AB330" s="28">
        <f>PRICE(Table1[[#This Row],[Issue date]],Table1[[#This Row],[Maturity date]],Table1[[#This Row],[Current coupon %]],Table1[[#This Row],[Average Cluster Yield]],100,Table1[[#This Row],[Coupon Frequency2]])*Table1[[#This Row],[Face value]]/100</f>
        <v>103017.54016675538</v>
      </c>
      <c r="AC330" s="27" t="str">
        <f>IF(Table1[[#This Row],[Ask Price]]&gt;Table1[[#This Row],[Calculated Bond Price]],"Rich","Cheap")</f>
        <v>Cheap</v>
      </c>
      <c r="AD330" s="28">
        <f>PRICE(Table1[[#This Row],[Issue date]],Table1[[#This Row],[Maturity date]],Table1[[#This Row],[Current coupon %]],Table1[[#This Row],[Yield (Annualised)]]+$AE$2,100,Table1[[#This Row],[Coupon Frequency2]])*Table1[[#This Row],[Face value]]/100</f>
        <v>98875.700922474673</v>
      </c>
      <c r="AE330" s="28">
        <f>PRICE(Table1[[#This Row],[Issue date]],Table1[[#This Row],[Maturity date]],Table1[[#This Row],[Current coupon %]],Table1[[#This Row],[Yield (Annualised)]]-$AE$2,100,Table1[[#This Row],[Coupon Frequency2]])*Table1[[#This Row],[Face value]]/100</f>
        <v>102509.0511159404</v>
      </c>
      <c r="AF330" s="28">
        <f>(Table1[[#This Row],[P (+ shock)]]+Table1[[#This Row],[P (-shock)]]-2*Table1[[#This Row],[Ask Price]])/(2*Table1[[#This Row],[Ask Price]]*($AE$2^2))</f>
        <v>1.930610073325119</v>
      </c>
    </row>
    <row r="331" spans="1:32" x14ac:dyDescent="0.25">
      <c r="A331" s="21" t="s">
        <v>708</v>
      </c>
      <c r="B331" s="3" t="s">
        <v>709</v>
      </c>
      <c r="C331" s="3" t="s">
        <v>19</v>
      </c>
      <c r="D331" s="4">
        <v>42550</v>
      </c>
      <c r="E331" s="4">
        <v>46202</v>
      </c>
      <c r="F331" s="3">
        <v>100000</v>
      </c>
      <c r="G331" s="3" t="s">
        <v>20</v>
      </c>
      <c r="H331" s="3">
        <v>98600</v>
      </c>
      <c r="I331" s="3" t="s">
        <v>20</v>
      </c>
      <c r="J331" s="3">
        <v>98.6</v>
      </c>
      <c r="K331" s="3">
        <v>40</v>
      </c>
      <c r="L331" s="5">
        <v>9.3000000000000013E-2</v>
      </c>
      <c r="M331" s="3" t="s">
        <v>21</v>
      </c>
      <c r="N331" s="3">
        <v>285</v>
      </c>
      <c r="O331" s="6">
        <f>Table1[[#This Row],[Current coupon %]]*Table1[[#This Row],[Face value]]/Table1[[#This Row],[Ask Price]]</f>
        <v>9.4320486815415841E-2</v>
      </c>
      <c r="P331" s="3" t="s">
        <v>25</v>
      </c>
      <c r="Q331" s="3" t="s">
        <v>22</v>
      </c>
      <c r="R331">
        <f t="shared" si="5"/>
        <v>10</v>
      </c>
      <c r="S331" s="22" cm="1">
        <f t="array" ref="S331">_xlfn.IFS(Table1[[#This Row],[Coupon frequency]]="Semi-annual",2,Table1[[#This Row],[Coupon frequency]]="Quarterly",4,Table1[[#This Row],[Coupon frequency]]="Annual",1,Table1[[#This Row],[Coupon frequency]]="Every 4 months",3,Table1[[#This Row],[Coupon frequency]]="Monthly",12)</f>
        <v>1</v>
      </c>
      <c r="T331">
        <f>Table1[[#This Row],[Term to Maturity (Years)]]*Table1[[#This Row],[Coupon Frequency2]]</f>
        <v>10</v>
      </c>
      <c r="U331">
        <f>Table1[[#This Row],[Face value]]*Table1[[#This Row],[Current coupon %]]/Table1[[#This Row],[Coupon Frequency2]]</f>
        <v>9300.0000000000018</v>
      </c>
      <c r="V331" s="23">
        <f>RATE(Table1[[#This Row],[Total No. of Coupons]],Table1[[#This Row],[Coupon Amount]],-Table1[[#This Row],[Ask Price]],Table1[[#This Row],[Face value]])</f>
        <v>9.5231975781263259E-2</v>
      </c>
      <c r="W331" s="24">
        <f>Table1[[#This Row],[IRR]]*Table1[[#This Row],[Coupon Frequency2]]</f>
        <v>9.5231975781263259E-2</v>
      </c>
      <c r="X331" s="25" cm="1">
        <f t="array" ref="X3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1" s="26">
        <f>DURATION(Table1[[#This Row],[Issue date]],Table1[[#This Row],[Maturity date]],Table1[[#This Row],[Current coupon %]],Table1[[#This Row],[Yield (Annualised)]],Table1[[#This Row],[Coupon Frequency2]])</f>
        <v>6.8997689937785109</v>
      </c>
      <c r="Z331" s="26">
        <f>Table1[[#This Row],[Macaulay Duration in Years]]/(1+Table1[[#This Row],[IRR]])</f>
        <v>6.29982428047418</v>
      </c>
      <c r="AA331" s="27">
        <f>VLOOKUP(Table1[[#This Row],[Yield Cluster]],'[1]Cluster Details'!$B$3:$C$16,2,0)</f>
        <v>7.8548801574189142E-2</v>
      </c>
      <c r="AB331" s="28">
        <f>PRICE(Table1[[#This Row],[Issue date]],Table1[[#This Row],[Maturity date]],Table1[[#This Row],[Current coupon %]],Table1[[#This Row],[Average Cluster Yield]],100,Table1[[#This Row],[Coupon Frequency2]])*Table1[[#This Row],[Face value]]/100</f>
        <v>109760.6654115266</v>
      </c>
      <c r="AC331" s="27" t="str">
        <f>IF(Table1[[#This Row],[Ask Price]]&gt;Table1[[#This Row],[Calculated Bond Price]],"Rich","Cheap")</f>
        <v>Cheap</v>
      </c>
      <c r="AD331" s="28">
        <f>PRICE(Table1[[#This Row],[Issue date]],Table1[[#This Row],[Maturity date]],Table1[[#This Row],[Current coupon %]],Table1[[#This Row],[Yield (Annualised)]]+$AE$2,100,Table1[[#This Row],[Coupon Frequency2]])*Table1[[#This Row],[Face value]]/100</f>
        <v>92649.982457642021</v>
      </c>
      <c r="AE331" s="28">
        <f>PRICE(Table1[[#This Row],[Issue date]],Table1[[#This Row],[Maturity date]],Table1[[#This Row],[Current coupon %]],Table1[[#This Row],[Yield (Annualised)]]-$AE$2,100,Table1[[#This Row],[Coupon Frequency2]])*Table1[[#This Row],[Face value]]/100</f>
        <v>105091.60712635767</v>
      </c>
      <c r="AF331" s="28">
        <f>(Table1[[#This Row],[P (+ shock)]]+Table1[[#This Row],[P (-shock)]]-2*Table1[[#This Row],[Ask Price]])/(2*Table1[[#This Row],[Ask Price]]*($AE$2^2))</f>
        <v>27.463974847855482</v>
      </c>
    </row>
    <row r="332" spans="1:32" x14ac:dyDescent="0.25">
      <c r="A332" s="21" t="s">
        <v>710</v>
      </c>
      <c r="B332" s="3" t="s">
        <v>711</v>
      </c>
      <c r="C332" s="3" t="s">
        <v>19</v>
      </c>
      <c r="D332" s="4">
        <v>44916</v>
      </c>
      <c r="E332" s="4">
        <v>46356</v>
      </c>
      <c r="F332" s="3">
        <v>1000000</v>
      </c>
      <c r="G332" s="3" t="s">
        <v>20</v>
      </c>
      <c r="H332" s="3">
        <v>1020000</v>
      </c>
      <c r="I332" s="3" t="s">
        <v>20</v>
      </c>
      <c r="J332" s="3">
        <v>102</v>
      </c>
      <c r="K332" s="3">
        <v>1</v>
      </c>
      <c r="L332" s="5">
        <v>9.6199999999999994E-2</v>
      </c>
      <c r="M332" s="3" t="s">
        <v>44</v>
      </c>
      <c r="N332" s="3">
        <v>439</v>
      </c>
      <c r="O332" s="6">
        <f>Table1[[#This Row],[Current coupon %]]*Table1[[#This Row],[Face value]]/Table1[[#This Row],[Ask Price]]</f>
        <v>9.4313725490196079E-2</v>
      </c>
      <c r="P332" s="3"/>
      <c r="Q332" s="3" t="s">
        <v>22</v>
      </c>
      <c r="R332">
        <f t="shared" si="5"/>
        <v>4</v>
      </c>
      <c r="S332" s="22" cm="1">
        <f t="array" ref="S332">_xlfn.IFS(Table1[[#This Row],[Coupon frequency]]="Semi-annual",2,Table1[[#This Row],[Coupon frequency]]="Quarterly",4,Table1[[#This Row],[Coupon frequency]]="Annual",1,Table1[[#This Row],[Coupon frequency]]="Every 4 months",3,Table1[[#This Row],[Coupon frequency]]="Monthly",12)</f>
        <v>4</v>
      </c>
      <c r="T332">
        <f>Table1[[#This Row],[Term to Maturity (Years)]]*Table1[[#This Row],[Coupon Frequency2]]</f>
        <v>16</v>
      </c>
      <c r="U332">
        <f>Table1[[#This Row],[Face value]]*Table1[[#This Row],[Current coupon %]]/Table1[[#This Row],[Coupon Frequency2]]</f>
        <v>24050</v>
      </c>
      <c r="V332" s="23">
        <f>RATE(Table1[[#This Row],[Total No. of Coupons]],Table1[[#This Row],[Coupon Amount]],-Table1[[#This Row],[Ask Price]],Table1[[#This Row],[Face value]])</f>
        <v>2.2547111634621704E-2</v>
      </c>
      <c r="W332" s="24">
        <f>Table1[[#This Row],[IRR]]*Table1[[#This Row],[Coupon Frequency2]]</f>
        <v>9.0188446538486816E-2</v>
      </c>
      <c r="X332" s="25" cm="1">
        <f t="array" ref="X3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2" s="26">
        <f>DURATION(Table1[[#This Row],[Issue date]],Table1[[#This Row],[Maturity date]],Table1[[#This Row],[Current coupon %]],Table1[[#This Row],[Yield (Annualised)]],Table1[[#This Row],[Coupon Frequency2]])</f>
        <v>3.3162506690834346</v>
      </c>
      <c r="Z332" s="26">
        <f>Table1[[#This Row],[Macaulay Duration in Years]]/(1+Table1[[#This Row],[IRR]])</f>
        <v>3.2431275110465552</v>
      </c>
      <c r="AA332" s="27">
        <f>VLOOKUP(Table1[[#This Row],[Yield Cluster]],'[1]Cluster Details'!$B$3:$C$16,2,0)</f>
        <v>7.8548801574189142E-2</v>
      </c>
      <c r="AB332" s="28">
        <f>PRICE(Table1[[#This Row],[Issue date]],Table1[[#This Row],[Maturity date]],Table1[[#This Row],[Current coupon %]],Table1[[#This Row],[Average Cluster Yield]],100,Table1[[#This Row],[Coupon Frequency2]])*Table1[[#This Row],[Face value]]/100</f>
        <v>1059297.786313622</v>
      </c>
      <c r="AC332" s="27" t="str">
        <f>IF(Table1[[#This Row],[Ask Price]]&gt;Table1[[#This Row],[Calculated Bond Price]],"Rich","Cheap")</f>
        <v>Cheap</v>
      </c>
      <c r="AD332" s="28">
        <f>PRICE(Table1[[#This Row],[Issue date]],Table1[[#This Row],[Maturity date]],Table1[[#This Row],[Current coupon %]],Table1[[#This Row],[Yield (Annualised)]]+$AE$2,100,Table1[[#This Row],[Coupon Frequency2]])*Table1[[#This Row],[Face value]]/100</f>
        <v>987089.50565226853</v>
      </c>
      <c r="AE332" s="28">
        <f>PRICE(Table1[[#This Row],[Issue date]],Table1[[#This Row],[Maturity date]],Table1[[#This Row],[Current coupon %]],Table1[[#This Row],[Yield (Annualised)]]-$AE$2,100,Table1[[#This Row],[Coupon Frequency2]])*Table1[[#This Row],[Face value]]/100</f>
        <v>1053612.4477582604</v>
      </c>
      <c r="AF332" s="28">
        <f>(Table1[[#This Row],[P (+ shock)]]+Table1[[#This Row],[P (-shock)]]-2*Table1[[#This Row],[Ask Price]])/(2*Table1[[#This Row],[Ask Price]]*($AE$2^2))</f>
        <v>3.4409480908287544</v>
      </c>
    </row>
    <row r="333" spans="1:32" x14ac:dyDescent="0.25">
      <c r="A333" s="21" t="s">
        <v>712</v>
      </c>
      <c r="B333" s="3" t="s">
        <v>713</v>
      </c>
      <c r="C333" s="3" t="s">
        <v>19</v>
      </c>
      <c r="D333" s="4">
        <v>44726</v>
      </c>
      <c r="E333" s="4">
        <v>47269</v>
      </c>
      <c r="F333" s="3">
        <v>1000000</v>
      </c>
      <c r="G333" s="3" t="s">
        <v>20</v>
      </c>
      <c r="H333" s="3">
        <v>1020000</v>
      </c>
      <c r="I333" s="3" t="s">
        <v>20</v>
      </c>
      <c r="J333" s="3">
        <v>102</v>
      </c>
      <c r="K333" s="3">
        <v>1</v>
      </c>
      <c r="L333" s="5">
        <v>9.6199999999999994E-2</v>
      </c>
      <c r="M333" s="3" t="s">
        <v>44</v>
      </c>
      <c r="N333" s="3">
        <v>1352</v>
      </c>
      <c r="O333" s="6">
        <f>Table1[[#This Row],[Current coupon %]]*Table1[[#This Row],[Face value]]/Table1[[#This Row],[Ask Price]]</f>
        <v>9.4313725490196079E-2</v>
      </c>
      <c r="P333" s="3"/>
      <c r="Q333" s="3" t="s">
        <v>22</v>
      </c>
      <c r="R333">
        <f t="shared" si="5"/>
        <v>7</v>
      </c>
      <c r="S333" s="22" cm="1">
        <f t="array" ref="S333">_xlfn.IFS(Table1[[#This Row],[Coupon frequency]]="Semi-annual",2,Table1[[#This Row],[Coupon frequency]]="Quarterly",4,Table1[[#This Row],[Coupon frequency]]="Annual",1,Table1[[#This Row],[Coupon frequency]]="Every 4 months",3,Table1[[#This Row],[Coupon frequency]]="Monthly",12)</f>
        <v>4</v>
      </c>
      <c r="T333">
        <f>Table1[[#This Row],[Term to Maturity (Years)]]*Table1[[#This Row],[Coupon Frequency2]]</f>
        <v>28</v>
      </c>
      <c r="U333">
        <f>Table1[[#This Row],[Face value]]*Table1[[#This Row],[Current coupon %]]/Table1[[#This Row],[Coupon Frequency2]]</f>
        <v>24050</v>
      </c>
      <c r="V333" s="23">
        <f>RATE(Table1[[#This Row],[Total No. of Coupons]],Table1[[#This Row],[Coupon Amount]],-Table1[[#This Row],[Ask Price]],Table1[[#This Row],[Face value]])</f>
        <v>2.3072386925731152E-2</v>
      </c>
      <c r="W333" s="24">
        <f>Table1[[#This Row],[IRR]]*Table1[[#This Row],[Coupon Frequency2]]</f>
        <v>9.2289547702924607E-2</v>
      </c>
      <c r="X333" s="25" cm="1">
        <f t="array" ref="X3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3" s="26">
        <f>DURATION(Table1[[#This Row],[Issue date]],Table1[[#This Row],[Maturity date]],Table1[[#This Row],[Current coupon %]],Table1[[#This Row],[Yield (Annualised)]],Table1[[#This Row],[Coupon Frequency2]])</f>
        <v>5.1548462959155783</v>
      </c>
      <c r="Z333" s="26">
        <f>Table1[[#This Row],[Macaulay Duration in Years]]/(1+Table1[[#This Row],[IRR]])</f>
        <v>5.0385939077151427</v>
      </c>
      <c r="AA333" s="27">
        <f>VLOOKUP(Table1[[#This Row],[Yield Cluster]],'[1]Cluster Details'!$B$3:$C$16,2,0)</f>
        <v>7.8548801574189142E-2</v>
      </c>
      <c r="AB333" s="28">
        <f>PRICE(Table1[[#This Row],[Issue date]],Table1[[#This Row],[Maturity date]],Table1[[#This Row],[Current coupon %]],Table1[[#This Row],[Average Cluster Yield]],100,Table1[[#This Row],[Coupon Frequency2]])*Table1[[#This Row],[Face value]]/100</f>
        <v>1093927.282468237</v>
      </c>
      <c r="AC333" s="27" t="str">
        <f>IF(Table1[[#This Row],[Ask Price]]&gt;Table1[[#This Row],[Calculated Bond Price]],"Rich","Cheap")</f>
        <v>Cheap</v>
      </c>
      <c r="AD333" s="28">
        <f>PRICE(Table1[[#This Row],[Issue date]],Table1[[#This Row],[Maturity date]],Table1[[#This Row],[Current coupon %]],Table1[[#This Row],[Yield (Annualised)]]+$AE$2,100,Table1[[#This Row],[Coupon Frequency2]])*Table1[[#This Row],[Face value]]/100</f>
        <v>969899.30915114447</v>
      </c>
      <c r="AE333" s="28">
        <f>PRICE(Table1[[#This Row],[Issue date]],Table1[[#This Row],[Maturity date]],Table1[[#This Row],[Current coupon %]],Table1[[#This Row],[Yield (Annualised)]]-$AE$2,100,Table1[[#This Row],[Coupon Frequency2]])*Table1[[#This Row],[Face value]]/100</f>
        <v>1073126.8124104438</v>
      </c>
      <c r="AF333" s="28">
        <f>(Table1[[#This Row],[P (+ shock)]]+Table1[[#This Row],[P (-shock)]]-2*Table1[[#This Row],[Ask Price]])/(2*Table1[[#This Row],[Ask Price]]*($AE$2^2))</f>
        <v>14.833929223471833</v>
      </c>
    </row>
    <row r="334" spans="1:32" x14ac:dyDescent="0.25">
      <c r="A334" s="21" t="s">
        <v>714</v>
      </c>
      <c r="B334" s="3" t="s">
        <v>715</v>
      </c>
      <c r="C334" s="3" t="s">
        <v>19</v>
      </c>
      <c r="D334" s="4">
        <v>44841</v>
      </c>
      <c r="E334" s="4">
        <v>47938</v>
      </c>
      <c r="F334" s="3">
        <v>1000000</v>
      </c>
      <c r="G334" s="3" t="s">
        <v>20</v>
      </c>
      <c r="H334" s="3">
        <v>1055000</v>
      </c>
      <c r="I334" s="3" t="s">
        <v>20</v>
      </c>
      <c r="J334" s="3">
        <v>105.5</v>
      </c>
      <c r="K334" s="3">
        <v>1</v>
      </c>
      <c r="L334" s="5">
        <v>9.9499999999999991E-2</v>
      </c>
      <c r="M334" s="3" t="s">
        <v>44</v>
      </c>
      <c r="N334" s="3">
        <v>2021</v>
      </c>
      <c r="O334" s="6">
        <f>Table1[[#This Row],[Current coupon %]]*Table1[[#This Row],[Face value]]/Table1[[#This Row],[Ask Price]]</f>
        <v>9.4312796208530794E-2</v>
      </c>
      <c r="P334" s="3"/>
      <c r="Q334" s="3" t="s">
        <v>22</v>
      </c>
      <c r="R334">
        <f t="shared" si="5"/>
        <v>8</v>
      </c>
      <c r="S334" s="22" cm="1">
        <f t="array" ref="S334">_xlfn.IFS(Table1[[#This Row],[Coupon frequency]]="Semi-annual",2,Table1[[#This Row],[Coupon frequency]]="Quarterly",4,Table1[[#This Row],[Coupon frequency]]="Annual",1,Table1[[#This Row],[Coupon frequency]]="Every 4 months",3,Table1[[#This Row],[Coupon frequency]]="Monthly",12)</f>
        <v>4</v>
      </c>
      <c r="T334">
        <f>Table1[[#This Row],[Term to Maturity (Years)]]*Table1[[#This Row],[Coupon Frequency2]]</f>
        <v>32</v>
      </c>
      <c r="U334">
        <f>Table1[[#This Row],[Face value]]*Table1[[#This Row],[Current coupon %]]/Table1[[#This Row],[Coupon Frequency2]]</f>
        <v>24874.999999999996</v>
      </c>
      <c r="V334" s="23">
        <f>RATE(Table1[[#This Row],[Total No. of Coupons]],Table1[[#This Row],[Coupon Amount]],-Table1[[#This Row],[Ask Price]],Table1[[#This Row],[Face value]])</f>
        <v>2.2447253631176254E-2</v>
      </c>
      <c r="W334" s="24">
        <f>Table1[[#This Row],[IRR]]*Table1[[#This Row],[Coupon Frequency2]]</f>
        <v>8.9789014524705016E-2</v>
      </c>
      <c r="X334" s="25" cm="1">
        <f t="array" ref="X3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4" s="26">
        <f>DURATION(Table1[[#This Row],[Issue date]],Table1[[#This Row],[Maturity date]],Table1[[#This Row],[Current coupon %]],Table1[[#This Row],[Yield (Annualised)]],Table1[[#This Row],[Coupon Frequency2]])</f>
        <v>5.895817876378624</v>
      </c>
      <c r="Z334" s="26">
        <f>Table1[[#This Row],[Macaulay Duration in Years]]/(1+Table1[[#This Row],[IRR]])</f>
        <v>5.7663785153120495</v>
      </c>
      <c r="AA334" s="27">
        <f>VLOOKUP(Table1[[#This Row],[Yield Cluster]],'[1]Cluster Details'!$B$3:$C$16,2,0)</f>
        <v>7.8548801574189142E-2</v>
      </c>
      <c r="AB334" s="28">
        <f>PRICE(Table1[[#This Row],[Issue date]],Table1[[#This Row],[Maturity date]],Table1[[#This Row],[Current coupon %]],Table1[[#This Row],[Average Cluster Yield]],100,Table1[[#This Row],[Coupon Frequency2]])*Table1[[#This Row],[Face value]]/100</f>
        <v>1128808.2432911766</v>
      </c>
      <c r="AC334" s="27" t="str">
        <f>IF(Table1[[#This Row],[Ask Price]]&gt;Table1[[#This Row],[Calculated Bond Price]],"Rich","Cheap")</f>
        <v>Cheap</v>
      </c>
      <c r="AD334" s="28">
        <f>PRICE(Table1[[#This Row],[Issue date]],Table1[[#This Row],[Maturity date]],Table1[[#This Row],[Current coupon %]],Table1[[#This Row],[Yield (Annualised)]]+$AE$2,100,Table1[[#This Row],[Coupon Frequency2]])*Table1[[#This Row],[Face value]]/100</f>
        <v>998337.34040364402</v>
      </c>
      <c r="AE334" s="28">
        <f>PRICE(Table1[[#This Row],[Issue date]],Table1[[#This Row],[Maturity date]],Table1[[#This Row],[Current coupon %]],Table1[[#This Row],[Yield (Annualised)]]-$AE$2,100,Table1[[#This Row],[Coupon Frequency2]])*Table1[[#This Row],[Face value]]/100</f>
        <v>1120608.7284001056</v>
      </c>
      <c r="AF334" s="28">
        <f>(Table1[[#This Row],[P (+ shock)]]+Table1[[#This Row],[P (-shock)]]-2*Table1[[#This Row],[Ask Price]])/(2*Table1[[#This Row],[Ask Price]]*($AE$2^2))</f>
        <v>42.398430349523757</v>
      </c>
    </row>
    <row r="335" spans="1:32" x14ac:dyDescent="0.25">
      <c r="A335" s="21" t="s">
        <v>716</v>
      </c>
      <c r="B335" s="3" t="s">
        <v>717</v>
      </c>
      <c r="C335" s="3" t="s">
        <v>19</v>
      </c>
      <c r="D335" s="4">
        <v>43447</v>
      </c>
      <c r="E335" s="4">
        <v>47095</v>
      </c>
      <c r="F335" s="3">
        <v>1000000</v>
      </c>
      <c r="G335" s="3" t="s">
        <v>20</v>
      </c>
      <c r="H335" s="3">
        <v>1050000</v>
      </c>
      <c r="I335" s="3" t="s">
        <v>20</v>
      </c>
      <c r="J335" s="3">
        <v>105</v>
      </c>
      <c r="K335" s="3">
        <v>1</v>
      </c>
      <c r="L335" s="5">
        <v>9.9000000000000005E-2</v>
      </c>
      <c r="M335" s="3" t="s">
        <v>21</v>
      </c>
      <c r="N335" s="3">
        <v>1178</v>
      </c>
      <c r="O335" s="6">
        <f>Table1[[#This Row],[Current coupon %]]*Table1[[#This Row],[Face value]]/Table1[[#This Row],[Ask Price]]</f>
        <v>9.4285714285714292E-2</v>
      </c>
      <c r="P335" s="3"/>
      <c r="Q335" s="3" t="s">
        <v>22</v>
      </c>
      <c r="R335">
        <f t="shared" si="5"/>
        <v>10</v>
      </c>
      <c r="S335" s="22" cm="1">
        <f t="array" ref="S335">_xlfn.IFS(Table1[[#This Row],[Coupon frequency]]="Semi-annual",2,Table1[[#This Row],[Coupon frequency]]="Quarterly",4,Table1[[#This Row],[Coupon frequency]]="Annual",1,Table1[[#This Row],[Coupon frequency]]="Every 4 months",3,Table1[[#This Row],[Coupon frequency]]="Monthly",12)</f>
        <v>1</v>
      </c>
      <c r="T335">
        <f>Table1[[#This Row],[Term to Maturity (Years)]]*Table1[[#This Row],[Coupon Frequency2]]</f>
        <v>10</v>
      </c>
      <c r="U335">
        <f>Table1[[#This Row],[Face value]]*Table1[[#This Row],[Current coupon %]]/Table1[[#This Row],[Coupon Frequency2]]</f>
        <v>99000</v>
      </c>
      <c r="V335" s="23">
        <f>RATE(Table1[[#This Row],[Total No. of Coupons]],Table1[[#This Row],[Coupon Amount]],-Table1[[#This Row],[Ask Price]],Table1[[#This Row],[Face value]])</f>
        <v>9.1168865573740779E-2</v>
      </c>
      <c r="W335" s="24">
        <f>Table1[[#This Row],[IRR]]*Table1[[#This Row],[Coupon Frequency2]]</f>
        <v>9.1168865573740779E-2</v>
      </c>
      <c r="X335" s="25" cm="1">
        <f t="array" ref="X3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5" s="26">
        <f>DURATION(Table1[[#This Row],[Issue date]],Table1[[#This Row],[Maturity date]],Table1[[#This Row],[Current coupon %]],Table1[[#This Row],[Yield (Annualised)]],Table1[[#This Row],[Coupon Frequency2]])</f>
        <v>6.849278646300232</v>
      </c>
      <c r="Z335" s="26">
        <f>Table1[[#This Row],[Macaulay Duration in Years]]/(1+Table1[[#This Row],[IRR]])</f>
        <v>6.2770107014544028</v>
      </c>
      <c r="AA335" s="27">
        <f>VLOOKUP(Table1[[#This Row],[Yield Cluster]],'[1]Cluster Details'!$B$3:$C$16,2,0)</f>
        <v>7.8548801574189142E-2</v>
      </c>
      <c r="AB335" s="28">
        <f>PRICE(Table1[[#This Row],[Issue date]],Table1[[#This Row],[Maturity date]],Table1[[#This Row],[Current coupon %]],Table1[[#This Row],[Average Cluster Yield]],100,Table1[[#This Row],[Coupon Frequency2]])*Table1[[#This Row],[Face value]]/100</f>
        <v>1137952.933909616</v>
      </c>
      <c r="AC335" s="27" t="str">
        <f>IF(Table1[[#This Row],[Ask Price]]&gt;Table1[[#This Row],[Calculated Bond Price]],"Rich","Cheap")</f>
        <v>Cheap</v>
      </c>
      <c r="AD335" s="28">
        <f>PRICE(Table1[[#This Row],[Issue date]],Table1[[#This Row],[Maturity date]],Table1[[#This Row],[Current coupon %]],Table1[[#This Row],[Yield (Annualised)]]+$AE$2,100,Table1[[#This Row],[Coupon Frequency2]])*Table1[[#This Row],[Face value]]/100</f>
        <v>986686.55416858871</v>
      </c>
      <c r="AE335" s="28">
        <f>PRICE(Table1[[#This Row],[Issue date]],Table1[[#This Row],[Maturity date]],Table1[[#This Row],[Current coupon %]],Table1[[#This Row],[Yield (Annualised)]]-$AE$2,100,Table1[[#This Row],[Coupon Frequency2]])*Table1[[#This Row],[Face value]]/100</f>
        <v>1118858.7109126742</v>
      </c>
      <c r="AF335" s="28">
        <f>(Table1[[#This Row],[P (+ shock)]]+Table1[[#This Row],[P (-shock)]]-2*Table1[[#This Row],[Ask Price]])/(2*Table1[[#This Row],[Ask Price]]*($AE$2^2))</f>
        <v>26.406024196491177</v>
      </c>
    </row>
    <row r="336" spans="1:32" x14ac:dyDescent="0.25">
      <c r="A336" s="21" t="s">
        <v>718</v>
      </c>
      <c r="B336" s="3" t="s">
        <v>719</v>
      </c>
      <c r="C336" s="3" t="s">
        <v>19</v>
      </c>
      <c r="D336" s="4">
        <v>43181</v>
      </c>
      <c r="E336" s="4">
        <v>46834</v>
      </c>
      <c r="F336" s="3">
        <v>1000</v>
      </c>
      <c r="G336" s="3" t="s">
        <v>20</v>
      </c>
      <c r="H336" s="3">
        <v>981.2</v>
      </c>
      <c r="I336" s="3" t="s">
        <v>20</v>
      </c>
      <c r="J336" s="3">
        <v>98.12</v>
      </c>
      <c r="K336" s="3">
        <v>340</v>
      </c>
      <c r="L336" s="5">
        <v>9.2499999999999999E-2</v>
      </c>
      <c r="M336" s="3" t="s">
        <v>21</v>
      </c>
      <c r="N336" s="3">
        <v>917</v>
      </c>
      <c r="O336" s="6">
        <f>Table1[[#This Row],[Current coupon %]]*Table1[[#This Row],[Face value]]/Table1[[#This Row],[Ask Price]]</f>
        <v>9.4272319608642477E-2</v>
      </c>
      <c r="P336" s="3"/>
      <c r="Q336" s="3" t="s">
        <v>22</v>
      </c>
      <c r="R336">
        <f t="shared" si="5"/>
        <v>10</v>
      </c>
      <c r="S336" s="22" cm="1">
        <f t="array" ref="S336">_xlfn.IFS(Table1[[#This Row],[Coupon frequency]]="Semi-annual",2,Table1[[#This Row],[Coupon frequency]]="Quarterly",4,Table1[[#This Row],[Coupon frequency]]="Annual",1,Table1[[#This Row],[Coupon frequency]]="Every 4 months",3,Table1[[#This Row],[Coupon frequency]]="Monthly",12)</f>
        <v>1</v>
      </c>
      <c r="T336">
        <f>Table1[[#This Row],[Term to Maturity (Years)]]*Table1[[#This Row],[Coupon Frequency2]]</f>
        <v>10</v>
      </c>
      <c r="U336">
        <f>Table1[[#This Row],[Face value]]*Table1[[#This Row],[Current coupon %]]/Table1[[#This Row],[Coupon Frequency2]]</f>
        <v>92.5</v>
      </c>
      <c r="V336" s="23">
        <f>RATE(Table1[[#This Row],[Total No. of Coupons]],Table1[[#This Row],[Coupon Amount]],-Table1[[#This Row],[Ask Price]],Table1[[#This Row],[Face value]])</f>
        <v>9.5500726175109629E-2</v>
      </c>
      <c r="W336" s="24">
        <f>Table1[[#This Row],[IRR]]*Table1[[#This Row],[Coupon Frequency2]]</f>
        <v>9.5500726175109629E-2</v>
      </c>
      <c r="X336" s="25" cm="1">
        <f t="array" ref="X3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6" s="26">
        <f>DURATION(Table1[[#This Row],[Issue date]],Table1[[#This Row],[Maturity date]],Table1[[#This Row],[Current coupon %]],Table1[[#This Row],[Yield (Annualised)]],Table1[[#This Row],[Coupon Frequency2]])</f>
        <v>6.9038209906154142</v>
      </c>
      <c r="Z336" s="26">
        <f>Table1[[#This Row],[Macaulay Duration in Years]]/(1+Table1[[#This Row],[IRR]])</f>
        <v>6.3019775575318757</v>
      </c>
      <c r="AA336" s="27">
        <f>VLOOKUP(Table1[[#This Row],[Yield Cluster]],'[1]Cluster Details'!$B$3:$C$16,2,0)</f>
        <v>7.8548801574189142E-2</v>
      </c>
      <c r="AB336" s="28">
        <f>PRICE(Table1[[#This Row],[Issue date]],Table1[[#This Row],[Maturity date]],Table1[[#This Row],[Current coupon %]],Table1[[#This Row],[Average Cluster Yield]],100,Table1[[#This Row],[Coupon Frequency2]])*Table1[[#This Row],[Face value]]/100</f>
        <v>1094.2295413236745</v>
      </c>
      <c r="AC336" s="27" t="str">
        <f>IF(Table1[[#This Row],[Ask Price]]&gt;Table1[[#This Row],[Calculated Bond Price]],"Rich","Cheap")</f>
        <v>Cheap</v>
      </c>
      <c r="AD336" s="28">
        <f>PRICE(Table1[[#This Row],[Issue date]],Table1[[#This Row],[Maturity date]],Table1[[#This Row],[Current coupon %]],Table1[[#This Row],[Yield (Annualised)]]+$AE$2,100,Table1[[#This Row],[Coupon Frequency2]])*Table1[[#This Row],[Face value]]/100</f>
        <v>921.96948914136578</v>
      </c>
      <c r="AE336" s="28">
        <f>PRICE(Table1[[#This Row],[Issue date]],Table1[[#This Row],[Maturity date]],Table1[[#This Row],[Current coupon %]],Table1[[#This Row],[Yield (Annualised)]]-$AE$2,100,Table1[[#This Row],[Coupon Frequency2]])*Table1[[#This Row],[Face value]]/100</f>
        <v>1045.8223875522497</v>
      </c>
      <c r="AF336" s="28">
        <f>(Table1[[#This Row],[P (+ shock)]]+Table1[[#This Row],[P (-shock)]]-2*Table1[[#This Row],[Ask Price]])/(2*Table1[[#This Row],[Ask Price]]*($AE$2^2))</f>
        <v>27.475930970318785</v>
      </c>
    </row>
    <row r="337" spans="1:32" x14ac:dyDescent="0.25">
      <c r="A337" s="21" t="s">
        <v>720</v>
      </c>
      <c r="B337" s="3" t="s">
        <v>721</v>
      </c>
      <c r="C337" s="3" t="s">
        <v>19</v>
      </c>
      <c r="D337" s="4">
        <v>45573</v>
      </c>
      <c r="E337" s="4">
        <v>46668</v>
      </c>
      <c r="F337" s="3">
        <v>1000</v>
      </c>
      <c r="G337" s="3" t="s">
        <v>20</v>
      </c>
      <c r="H337" s="3">
        <v>1063.8</v>
      </c>
      <c r="I337" s="3" t="s">
        <v>20</v>
      </c>
      <c r="J337" s="3">
        <v>106.379999999999</v>
      </c>
      <c r="K337" s="3">
        <v>7</v>
      </c>
      <c r="L337" s="5">
        <v>0.1</v>
      </c>
      <c r="M337" s="3" t="s">
        <v>21</v>
      </c>
      <c r="N337" s="3">
        <v>751</v>
      </c>
      <c r="O337" s="6">
        <f>Table1[[#This Row],[Current coupon %]]*Table1[[#This Row],[Face value]]/Table1[[#This Row],[Ask Price]]</f>
        <v>9.4002632073698064E-2</v>
      </c>
      <c r="P337" s="3"/>
      <c r="Q337" s="3" t="s">
        <v>22</v>
      </c>
      <c r="R337">
        <f t="shared" si="5"/>
        <v>3</v>
      </c>
      <c r="S337" s="22" cm="1">
        <f t="array" ref="S337">_xlfn.IFS(Table1[[#This Row],[Coupon frequency]]="Semi-annual",2,Table1[[#This Row],[Coupon frequency]]="Quarterly",4,Table1[[#This Row],[Coupon frequency]]="Annual",1,Table1[[#This Row],[Coupon frequency]]="Every 4 months",3,Table1[[#This Row],[Coupon frequency]]="Monthly",12)</f>
        <v>1</v>
      </c>
      <c r="T337">
        <f>Table1[[#This Row],[Term to Maturity (Years)]]*Table1[[#This Row],[Coupon Frequency2]]</f>
        <v>3</v>
      </c>
      <c r="U337">
        <f>Table1[[#This Row],[Face value]]*Table1[[#This Row],[Current coupon %]]/Table1[[#This Row],[Coupon Frequency2]]</f>
        <v>100</v>
      </c>
      <c r="V337" s="23">
        <f>RATE(Table1[[#This Row],[Total No. of Coupons]],Table1[[#This Row],[Coupon Amount]],-Table1[[#This Row],[Ask Price]],Table1[[#This Row],[Face value]])</f>
        <v>7.5446603150045366E-2</v>
      </c>
      <c r="W337" s="24">
        <f>Table1[[#This Row],[IRR]]*Table1[[#This Row],[Coupon Frequency2]]</f>
        <v>7.5446603150045366E-2</v>
      </c>
      <c r="X337" s="25" cm="1">
        <f t="array" ref="X3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7" s="26">
        <f>DURATION(Table1[[#This Row],[Issue date]],Table1[[#This Row],[Maturity date]],Table1[[#This Row],[Current coupon %]],Table1[[#This Row],[Yield (Annualised)]],Table1[[#This Row],[Coupon Frequency2]])</f>
        <v>2.7439080108207468</v>
      </c>
      <c r="Z337" s="26">
        <f>Table1[[#This Row],[Macaulay Duration in Years]]/(1+Table1[[#This Row],[IRR]])</f>
        <v>2.5514125971328387</v>
      </c>
      <c r="AA337" s="27">
        <f>VLOOKUP(Table1[[#This Row],[Yield Cluster]],'[1]Cluster Details'!$B$3:$C$16,2,0)</f>
        <v>7.8548801574189142E-2</v>
      </c>
      <c r="AB337" s="28">
        <f>PRICE(Table1[[#This Row],[Issue date]],Table1[[#This Row],[Maturity date]],Table1[[#This Row],[Current coupon %]],Table1[[#This Row],[Average Cluster Yield]],100,Table1[[#This Row],[Coupon Frequency2]])*Table1[[#This Row],[Face value]]/100</f>
        <v>1055.4268965673293</v>
      </c>
      <c r="AC337" s="27" t="str">
        <f>IF(Table1[[#This Row],[Ask Price]]&gt;Table1[[#This Row],[Calculated Bond Price]],"Rich","Cheap")</f>
        <v>Rich</v>
      </c>
      <c r="AD337" s="28">
        <f>PRICE(Table1[[#This Row],[Issue date]],Table1[[#This Row],[Maturity date]],Table1[[#This Row],[Current coupon %]],Table1[[#This Row],[Yield (Annualised)]]+$AE$2,100,Table1[[#This Row],[Coupon Frequency2]])*Table1[[#This Row],[Face value]]/100</f>
        <v>1037.1399531627242</v>
      </c>
      <c r="AE337" s="28">
        <f>PRICE(Table1[[#This Row],[Issue date]],Table1[[#This Row],[Maturity date]],Table1[[#This Row],[Current coupon %]],Table1[[#This Row],[Yield (Annualised)]]-$AE$2,100,Table1[[#This Row],[Coupon Frequency2]])*Table1[[#This Row],[Face value]]/100</f>
        <v>1091.4387355205531</v>
      </c>
      <c r="AF337" s="28">
        <f>(Table1[[#This Row],[P (+ shock)]]+Table1[[#This Row],[P (-shock)]]-2*Table1[[#This Row],[Ask Price]])/(2*Table1[[#This Row],[Ask Price]]*($AE$2^2))</f>
        <v>4.599965610441795</v>
      </c>
    </row>
    <row r="338" spans="1:32" x14ac:dyDescent="0.25">
      <c r="A338" s="21" t="s">
        <v>722</v>
      </c>
      <c r="B338" s="3" t="s">
        <v>723</v>
      </c>
      <c r="C338" s="3" t="s">
        <v>19</v>
      </c>
      <c r="D338" s="4">
        <v>45595</v>
      </c>
      <c r="E338" s="4">
        <v>47786</v>
      </c>
      <c r="F338" s="3">
        <v>1000</v>
      </c>
      <c r="G338" s="3" t="s">
        <v>20</v>
      </c>
      <c r="H338" s="3">
        <v>1075</v>
      </c>
      <c r="I338" s="3" t="s">
        <v>20</v>
      </c>
      <c r="J338" s="3">
        <v>107.5</v>
      </c>
      <c r="K338" s="3">
        <v>61</v>
      </c>
      <c r="L338" s="5">
        <v>0.10099999999999999</v>
      </c>
      <c r="M338" s="3" t="s">
        <v>21</v>
      </c>
      <c r="N338" s="3">
        <v>1869</v>
      </c>
      <c r="O338" s="6">
        <f>Table1[[#This Row],[Current coupon %]]*Table1[[#This Row],[Face value]]/Table1[[#This Row],[Ask Price]]</f>
        <v>9.3953488372093011E-2</v>
      </c>
      <c r="P338" s="3"/>
      <c r="Q338" s="3" t="s">
        <v>22</v>
      </c>
      <c r="R338">
        <f t="shared" si="5"/>
        <v>6</v>
      </c>
      <c r="S338" s="22" cm="1">
        <f t="array" ref="S338">_xlfn.IFS(Table1[[#This Row],[Coupon frequency]]="Semi-annual",2,Table1[[#This Row],[Coupon frequency]]="Quarterly",4,Table1[[#This Row],[Coupon frequency]]="Annual",1,Table1[[#This Row],[Coupon frequency]]="Every 4 months",3,Table1[[#This Row],[Coupon frequency]]="Monthly",12)</f>
        <v>1</v>
      </c>
      <c r="T338">
        <f>Table1[[#This Row],[Term to Maturity (Years)]]*Table1[[#This Row],[Coupon Frequency2]]</f>
        <v>6</v>
      </c>
      <c r="U338">
        <f>Table1[[#This Row],[Face value]]*Table1[[#This Row],[Current coupon %]]/Table1[[#This Row],[Coupon Frequency2]]</f>
        <v>100.99999999999999</v>
      </c>
      <c r="V338" s="23">
        <f>RATE(Table1[[#This Row],[Total No. of Coupons]],Table1[[#This Row],[Coupon Amount]],-Table1[[#This Row],[Ask Price]],Table1[[#This Row],[Face value]])</f>
        <v>8.4551669728872639E-2</v>
      </c>
      <c r="W338" s="24">
        <f>Table1[[#This Row],[IRR]]*Table1[[#This Row],[Coupon Frequency2]]</f>
        <v>8.4551669728872639E-2</v>
      </c>
      <c r="X338" s="25" cm="1">
        <f t="array" ref="X3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8" s="26">
        <f>DURATION(Table1[[#This Row],[Issue date]],Table1[[#This Row],[Maturity date]],Table1[[#This Row],[Current coupon %]],Table1[[#This Row],[Yield (Annualised)]],Table1[[#This Row],[Coupon Frequency2]])</f>
        <v>4.8279841160167951</v>
      </c>
      <c r="Z338" s="26">
        <f>Table1[[#This Row],[Macaulay Duration in Years]]/(1+Table1[[#This Row],[IRR]])</f>
        <v>4.4515943783699532</v>
      </c>
      <c r="AA338" s="27">
        <f>VLOOKUP(Table1[[#This Row],[Yield Cluster]],'[1]Cluster Details'!$B$3:$C$16,2,0)</f>
        <v>7.8548801574189142E-2</v>
      </c>
      <c r="AB338" s="28">
        <f>PRICE(Table1[[#This Row],[Issue date]],Table1[[#This Row],[Maturity date]],Table1[[#This Row],[Current coupon %]],Table1[[#This Row],[Average Cluster Yield]],100,Table1[[#This Row],[Coupon Frequency2]])*Table1[[#This Row],[Face value]]/100</f>
        <v>1104.2477014318038</v>
      </c>
      <c r="AC338" s="27" t="str">
        <f>IF(Table1[[#This Row],[Ask Price]]&gt;Table1[[#This Row],[Calculated Bond Price]],"Rich","Cheap")</f>
        <v>Cheap</v>
      </c>
      <c r="AD338" s="28">
        <f>PRICE(Table1[[#This Row],[Issue date]],Table1[[#This Row],[Maturity date]],Table1[[#This Row],[Current coupon %]],Table1[[#This Row],[Yield (Annualised)]]+$AE$2,100,Table1[[#This Row],[Coupon Frequency2]])*Table1[[#This Row],[Face value]]/100</f>
        <v>1028.5383019442429</v>
      </c>
      <c r="AE338" s="28">
        <f>PRICE(Table1[[#This Row],[Issue date]],Table1[[#This Row],[Maturity date]],Table1[[#This Row],[Current coupon %]],Table1[[#This Row],[Yield (Annualised)]]-$AE$2,100,Table1[[#This Row],[Coupon Frequency2]])*Table1[[#This Row],[Face value]]/100</f>
        <v>1124.3149091567579</v>
      </c>
      <c r="AF338" s="28">
        <f>(Table1[[#This Row],[P (+ shock)]]+Table1[[#This Row],[P (-shock)]]-2*Table1[[#This Row],[Ask Price]])/(2*Table1[[#This Row],[Ask Price]]*($AE$2^2))</f>
        <v>13.270749306980708</v>
      </c>
    </row>
    <row r="339" spans="1:32" x14ac:dyDescent="0.25">
      <c r="A339" s="21" t="s">
        <v>724</v>
      </c>
      <c r="B339" s="3" t="s">
        <v>725</v>
      </c>
      <c r="C339" s="3" t="s">
        <v>19</v>
      </c>
      <c r="D339" s="4">
        <v>44679</v>
      </c>
      <c r="E339" s="4">
        <v>46505</v>
      </c>
      <c r="F339" s="3">
        <v>1000</v>
      </c>
      <c r="G339" s="3" t="s">
        <v>20</v>
      </c>
      <c r="H339" s="3">
        <v>985</v>
      </c>
      <c r="I339" s="3" t="s">
        <v>20</v>
      </c>
      <c r="J339" s="3">
        <v>98.5</v>
      </c>
      <c r="K339" s="3">
        <v>137</v>
      </c>
      <c r="L339" s="5">
        <v>9.2499999999999999E-2</v>
      </c>
      <c r="M339" s="3" t="s">
        <v>21</v>
      </c>
      <c r="N339" s="3">
        <v>588</v>
      </c>
      <c r="O339" s="6">
        <f>Table1[[#This Row],[Current coupon %]]*Table1[[#This Row],[Face value]]/Table1[[#This Row],[Ask Price]]</f>
        <v>9.3908629441624369E-2</v>
      </c>
      <c r="P339" s="3" t="s">
        <v>25</v>
      </c>
      <c r="Q339" s="3" t="s">
        <v>22</v>
      </c>
      <c r="R339">
        <f t="shared" si="5"/>
        <v>5</v>
      </c>
      <c r="S339" s="22" cm="1">
        <f t="array" ref="S339">_xlfn.IFS(Table1[[#This Row],[Coupon frequency]]="Semi-annual",2,Table1[[#This Row],[Coupon frequency]]="Quarterly",4,Table1[[#This Row],[Coupon frequency]]="Annual",1,Table1[[#This Row],[Coupon frequency]]="Every 4 months",3,Table1[[#This Row],[Coupon frequency]]="Monthly",12)</f>
        <v>1</v>
      </c>
      <c r="T339">
        <f>Table1[[#This Row],[Term to Maturity (Years)]]*Table1[[#This Row],[Coupon Frequency2]]</f>
        <v>5</v>
      </c>
      <c r="U339">
        <f>Table1[[#This Row],[Face value]]*Table1[[#This Row],[Current coupon %]]/Table1[[#This Row],[Coupon Frequency2]]</f>
        <v>92.5</v>
      </c>
      <c r="V339" s="23">
        <f>RATE(Table1[[#This Row],[Total No. of Coupons]],Table1[[#This Row],[Coupon Amount]],-Table1[[#This Row],[Ask Price]],Table1[[#This Row],[Face value]])</f>
        <v>9.6420846936660379E-2</v>
      </c>
      <c r="W339" s="24">
        <f>Table1[[#This Row],[IRR]]*Table1[[#This Row],[Coupon Frequency2]]</f>
        <v>9.6420846936660379E-2</v>
      </c>
      <c r="X339" s="25" cm="1">
        <f t="array" ref="X3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39" s="26">
        <f>DURATION(Table1[[#This Row],[Issue date]],Table1[[#This Row],[Maturity date]],Table1[[#This Row],[Current coupon %]],Table1[[#This Row],[Yield (Annualised)]],Table1[[#This Row],[Coupon Frequency2]])</f>
        <v>4.2155666165849137</v>
      </c>
      <c r="Z339" s="26">
        <f>Table1[[#This Row],[Macaulay Duration in Years]]/(1+Table1[[#This Row],[IRR]])</f>
        <v>3.8448435455810381</v>
      </c>
      <c r="AA339" s="27">
        <f>VLOOKUP(Table1[[#This Row],[Yield Cluster]],'[1]Cluster Details'!$B$3:$C$16,2,0)</f>
        <v>7.8548801574189142E-2</v>
      </c>
      <c r="AB339" s="28">
        <f>PRICE(Table1[[#This Row],[Issue date]],Table1[[#This Row],[Maturity date]],Table1[[#This Row],[Current coupon %]],Table1[[#This Row],[Average Cluster Yield]],100,Table1[[#This Row],[Coupon Frequency2]])*Table1[[#This Row],[Face value]]/100</f>
        <v>1055.9167958481376</v>
      </c>
      <c r="AC339" s="27" t="str">
        <f>IF(Table1[[#This Row],[Ask Price]]&gt;Table1[[#This Row],[Calculated Bond Price]],"Rich","Cheap")</f>
        <v>Cheap</v>
      </c>
      <c r="AD339" s="28">
        <f>PRICE(Table1[[#This Row],[Issue date]],Table1[[#This Row],[Maturity date]],Table1[[#This Row],[Current coupon %]],Table1[[#This Row],[Yield (Annualised)]]+$AE$2,100,Table1[[#This Row],[Coupon Frequency2]])*Table1[[#This Row],[Face value]]/100</f>
        <v>948.08337047165969</v>
      </c>
      <c r="AE339" s="28">
        <f>PRICE(Table1[[#This Row],[Issue date]],Table1[[#This Row],[Maturity date]],Table1[[#This Row],[Current coupon %]],Table1[[#This Row],[Yield (Annualised)]]-$AE$2,100,Table1[[#This Row],[Coupon Frequency2]])*Table1[[#This Row],[Face value]]/100</f>
        <v>1023.867020993918</v>
      </c>
      <c r="AF339" s="28">
        <f>(Table1[[#This Row],[P (+ shock)]]+Table1[[#This Row],[P (-shock)]]-2*Table1[[#This Row],[Ask Price]])/(2*Table1[[#This Row],[Ask Price]]*($AE$2^2))</f>
        <v>9.9004642922725647</v>
      </c>
    </row>
    <row r="340" spans="1:32" x14ac:dyDescent="0.25">
      <c r="A340" s="21" t="s">
        <v>726</v>
      </c>
      <c r="B340" s="3" t="s">
        <v>727</v>
      </c>
      <c r="C340" s="3" t="s">
        <v>19</v>
      </c>
      <c r="D340" s="4">
        <v>45681</v>
      </c>
      <c r="E340" s="4">
        <v>46776</v>
      </c>
      <c r="F340" s="3">
        <v>1000</v>
      </c>
      <c r="G340" s="3" t="s">
        <v>20</v>
      </c>
      <c r="H340" s="3">
        <v>1035</v>
      </c>
      <c r="I340" s="3" t="s">
        <v>20</v>
      </c>
      <c r="J340" s="3">
        <v>103.49999999999901</v>
      </c>
      <c r="K340" s="3">
        <v>103</v>
      </c>
      <c r="L340" s="5">
        <v>0.1</v>
      </c>
      <c r="M340" s="3" t="s">
        <v>21</v>
      </c>
      <c r="N340" s="3">
        <v>859</v>
      </c>
      <c r="O340" s="6">
        <f>Table1[[#This Row],[Current coupon %]]*Table1[[#This Row],[Face value]]/Table1[[#This Row],[Ask Price]]</f>
        <v>9.6618357487922704E-2</v>
      </c>
      <c r="P340" s="3"/>
      <c r="Q340" s="3" t="s">
        <v>22</v>
      </c>
      <c r="R340">
        <f t="shared" si="5"/>
        <v>3</v>
      </c>
      <c r="S340" s="22" cm="1">
        <f t="array" ref="S340">_xlfn.IFS(Table1[[#This Row],[Coupon frequency]]="Semi-annual",2,Table1[[#This Row],[Coupon frequency]]="Quarterly",4,Table1[[#This Row],[Coupon frequency]]="Annual",1,Table1[[#This Row],[Coupon frequency]]="Every 4 months",3,Table1[[#This Row],[Coupon frequency]]="Monthly",12)</f>
        <v>1</v>
      </c>
      <c r="T340">
        <f>Table1[[#This Row],[Term to Maturity (Years)]]*Table1[[#This Row],[Coupon Frequency2]]</f>
        <v>3</v>
      </c>
      <c r="U340">
        <f>Table1[[#This Row],[Face value]]*Table1[[#This Row],[Current coupon %]]/Table1[[#This Row],[Coupon Frequency2]]</f>
        <v>100</v>
      </c>
      <c r="V340" s="23">
        <f>RATE(Table1[[#This Row],[Total No. of Coupons]],Table1[[#This Row],[Coupon Amount]],-Table1[[#This Row],[Ask Price]],Table1[[#This Row],[Face value]])</f>
        <v>8.6265028007495234E-2</v>
      </c>
      <c r="W340" s="24">
        <f>Table1[[#This Row],[IRR]]*Table1[[#This Row],[Coupon Frequency2]]</f>
        <v>8.6265028007495234E-2</v>
      </c>
      <c r="X340" s="25" cm="1">
        <f t="array" ref="X3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0" s="26">
        <f>DURATION(Table1[[#This Row],[Issue date]],Table1[[#This Row],[Maturity date]],Table1[[#This Row],[Current coupon %]],Table1[[#This Row],[Yield (Annualised)]],Table1[[#This Row],[Coupon Frequency2]])</f>
        <v>2.7402271256022503</v>
      </c>
      <c r="Z340" s="26">
        <f>Table1[[#This Row],[Macaulay Duration in Years]]/(1+Table1[[#This Row],[IRR]])</f>
        <v>2.5226137774393513</v>
      </c>
      <c r="AA340" s="27">
        <f>VLOOKUP(Table1[[#This Row],[Yield Cluster]],'[1]Cluster Details'!$B$3:$C$16,2,0)</f>
        <v>7.8548801574189142E-2</v>
      </c>
      <c r="AB340" s="28">
        <f>PRICE(Table1[[#This Row],[Issue date]],Table1[[#This Row],[Maturity date]],Table1[[#This Row],[Current coupon %]],Table1[[#This Row],[Average Cluster Yield]],100,Table1[[#This Row],[Coupon Frequency2]])*Table1[[#This Row],[Face value]]/100</f>
        <v>1055.4268965673293</v>
      </c>
      <c r="AC340" s="27" t="str">
        <f>IF(Table1[[#This Row],[Ask Price]]&gt;Table1[[#This Row],[Calculated Bond Price]],"Rich","Cheap")</f>
        <v>Cheap</v>
      </c>
      <c r="AD340" s="28">
        <f>PRICE(Table1[[#This Row],[Issue date]],Table1[[#This Row],[Maturity date]],Table1[[#This Row],[Current coupon %]],Table1[[#This Row],[Yield (Annualised)]]+$AE$2,100,Table1[[#This Row],[Coupon Frequency2]])*Table1[[#This Row],[Face value]]/100</f>
        <v>1009.3497390670302</v>
      </c>
      <c r="AE340" s="28">
        <f>PRICE(Table1[[#This Row],[Issue date]],Table1[[#This Row],[Maturity date]],Table1[[#This Row],[Current coupon %]],Table1[[#This Row],[Yield (Annualised)]]-$AE$2,100,Table1[[#This Row],[Coupon Frequency2]])*Table1[[#This Row],[Face value]]/100</f>
        <v>1061.5819101545856</v>
      </c>
      <c r="AF340" s="28">
        <f>(Table1[[#This Row],[P (+ shock)]]+Table1[[#This Row],[P (-shock)]]-2*Table1[[#This Row],[Ask Price]])/(2*Table1[[#This Row],[Ask Price]]*($AE$2^2))</f>
        <v>4.5007208773708749</v>
      </c>
    </row>
    <row r="341" spans="1:32" x14ac:dyDescent="0.25">
      <c r="A341" s="21" t="s">
        <v>728</v>
      </c>
      <c r="B341" s="3" t="s">
        <v>729</v>
      </c>
      <c r="C341" s="3" t="s">
        <v>19</v>
      </c>
      <c r="D341" s="4">
        <v>45796</v>
      </c>
      <c r="E341" s="4">
        <v>46526</v>
      </c>
      <c r="F341" s="3">
        <v>1000</v>
      </c>
      <c r="G341" s="3" t="s">
        <v>20</v>
      </c>
      <c r="H341" s="3">
        <v>1002</v>
      </c>
      <c r="I341" s="3" t="s">
        <v>20</v>
      </c>
      <c r="J341" s="3">
        <v>100.2</v>
      </c>
      <c r="K341" s="3">
        <v>3</v>
      </c>
      <c r="L341" s="5">
        <v>9.4E-2</v>
      </c>
      <c r="M341" s="3" t="s">
        <v>21</v>
      </c>
      <c r="N341" s="3">
        <v>609</v>
      </c>
      <c r="O341" s="6">
        <f>Table1[[#This Row],[Current coupon %]]*Table1[[#This Row],[Face value]]/Table1[[#This Row],[Ask Price]]</f>
        <v>9.3812375249500993E-2</v>
      </c>
      <c r="P341" s="3"/>
      <c r="Q341" s="3" t="s">
        <v>22</v>
      </c>
      <c r="R341">
        <f t="shared" si="5"/>
        <v>2</v>
      </c>
      <c r="S341" s="22" cm="1">
        <f t="array" ref="S341">_xlfn.IFS(Table1[[#This Row],[Coupon frequency]]="Semi-annual",2,Table1[[#This Row],[Coupon frequency]]="Quarterly",4,Table1[[#This Row],[Coupon frequency]]="Annual",1,Table1[[#This Row],[Coupon frequency]]="Every 4 months",3,Table1[[#This Row],[Coupon frequency]]="Monthly",12)</f>
        <v>1</v>
      </c>
      <c r="T341">
        <f>Table1[[#This Row],[Term to Maturity (Years)]]*Table1[[#This Row],[Coupon Frequency2]]</f>
        <v>2</v>
      </c>
      <c r="U341">
        <f>Table1[[#This Row],[Face value]]*Table1[[#This Row],[Current coupon %]]/Table1[[#This Row],[Coupon Frequency2]]</f>
        <v>94</v>
      </c>
      <c r="V341" s="23">
        <f>RATE(Table1[[#This Row],[Total No. of Coupons]],Table1[[#This Row],[Coupon Amount]],-Table1[[#This Row],[Ask Price]],Table1[[#This Row],[Face value]])</f>
        <v>9.2858651985802274E-2</v>
      </c>
      <c r="W341" s="24">
        <f>Table1[[#This Row],[IRR]]*Table1[[#This Row],[Coupon Frequency2]]</f>
        <v>9.2858651985802274E-2</v>
      </c>
      <c r="X341" s="25" cm="1">
        <f t="array" ref="X3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1" s="26">
        <f>DURATION(Table1[[#This Row],[Issue date]],Table1[[#This Row],[Maturity date]],Table1[[#This Row],[Current coupon %]],Table1[[#This Row],[Yield (Annualised)]],Table1[[#This Row],[Coupon Frequency2]])</f>
        <v>1.9141587294211952</v>
      </c>
      <c r="Z341" s="26">
        <f>Table1[[#This Row],[Macaulay Duration in Years]]/(1+Table1[[#This Row],[IRR]])</f>
        <v>1.7515153729560835</v>
      </c>
      <c r="AA341" s="27">
        <f>VLOOKUP(Table1[[#This Row],[Yield Cluster]],'[1]Cluster Details'!$B$3:$C$16,2,0)</f>
        <v>7.8548801574189142E-2</v>
      </c>
      <c r="AB341" s="28">
        <f>PRICE(Table1[[#This Row],[Issue date]],Table1[[#This Row],[Maturity date]],Table1[[#This Row],[Current coupon %]],Table1[[#This Row],[Average Cluster Yield]],100,Table1[[#This Row],[Coupon Frequency2]])*Table1[[#This Row],[Face value]]/100</f>
        <v>1027.6084988973716</v>
      </c>
      <c r="AC341" s="27" t="str">
        <f>IF(Table1[[#This Row],[Ask Price]]&gt;Table1[[#This Row],[Calculated Bond Price]],"Rich","Cheap")</f>
        <v>Cheap</v>
      </c>
      <c r="AD341" s="28">
        <f>PRICE(Table1[[#This Row],[Issue date]],Table1[[#This Row],[Maturity date]],Table1[[#This Row],[Current coupon %]],Table1[[#This Row],[Yield (Annualised)]]+$AE$2,100,Table1[[#This Row],[Coupon Frequency2]])*Table1[[#This Row],[Face value]]/100</f>
        <v>984.68425901383307</v>
      </c>
      <c r="AE341" s="28">
        <f>PRICE(Table1[[#This Row],[Issue date]],Table1[[#This Row],[Maturity date]],Table1[[#This Row],[Current coupon %]],Table1[[#This Row],[Yield (Annualised)]]-$AE$2,100,Table1[[#This Row],[Coupon Frequency2]])*Table1[[#This Row],[Face value]]/100</f>
        <v>1019.790373792931</v>
      </c>
      <c r="AF341" s="28">
        <f>(Table1[[#This Row],[P (+ shock)]]+Table1[[#This Row],[P (-shock)]]-2*Table1[[#This Row],[Ask Price]])/(2*Table1[[#This Row],[Ask Price]]*($AE$2^2))</f>
        <v>2.3684271794611806</v>
      </c>
    </row>
    <row r="342" spans="1:32" x14ac:dyDescent="0.25">
      <c r="A342" s="21" t="s">
        <v>730</v>
      </c>
      <c r="B342" s="3" t="s">
        <v>731</v>
      </c>
      <c r="C342" s="3" t="s">
        <v>19</v>
      </c>
      <c r="D342" s="4">
        <v>44274</v>
      </c>
      <c r="E342" s="4">
        <v>46283</v>
      </c>
      <c r="F342" s="3">
        <v>1000000</v>
      </c>
      <c r="G342" s="3" t="s">
        <v>20</v>
      </c>
      <c r="H342" s="3">
        <v>1040887</v>
      </c>
      <c r="I342" s="3" t="s">
        <v>20</v>
      </c>
      <c r="J342" s="3">
        <v>104.08869999999899</v>
      </c>
      <c r="K342" s="3">
        <v>2</v>
      </c>
      <c r="L342" s="5">
        <v>9.7500000000000003E-2</v>
      </c>
      <c r="M342" s="3" t="s">
        <v>21</v>
      </c>
      <c r="N342" s="3">
        <v>366</v>
      </c>
      <c r="O342" s="6">
        <f>Table1[[#This Row],[Current coupon %]]*Table1[[#This Row],[Face value]]/Table1[[#This Row],[Ask Price]]</f>
        <v>9.3670110204085555E-2</v>
      </c>
      <c r="P342" s="3"/>
      <c r="Q342" s="3" t="s">
        <v>22</v>
      </c>
      <c r="R342">
        <f t="shared" si="5"/>
        <v>5</v>
      </c>
      <c r="S342" s="22" cm="1">
        <f t="array" ref="S342">_xlfn.IFS(Table1[[#This Row],[Coupon frequency]]="Semi-annual",2,Table1[[#This Row],[Coupon frequency]]="Quarterly",4,Table1[[#This Row],[Coupon frequency]]="Annual",1,Table1[[#This Row],[Coupon frequency]]="Every 4 months",3,Table1[[#This Row],[Coupon frequency]]="Monthly",12)</f>
        <v>1</v>
      </c>
      <c r="T342">
        <f>Table1[[#This Row],[Term to Maturity (Years)]]*Table1[[#This Row],[Coupon Frequency2]]</f>
        <v>5</v>
      </c>
      <c r="U342">
        <f>Table1[[#This Row],[Face value]]*Table1[[#This Row],[Current coupon %]]/Table1[[#This Row],[Coupon Frequency2]]</f>
        <v>97500</v>
      </c>
      <c r="V342" s="23">
        <f>RATE(Table1[[#This Row],[Total No. of Coupons]],Table1[[#This Row],[Coupon Amount]],-Table1[[#This Row],[Ask Price]],Table1[[#This Row],[Face value]])</f>
        <v>8.7068105340335086E-2</v>
      </c>
      <c r="W342" s="24">
        <f>Table1[[#This Row],[IRR]]*Table1[[#This Row],[Coupon Frequency2]]</f>
        <v>8.7068105340335086E-2</v>
      </c>
      <c r="X342" s="25" cm="1">
        <f t="array" ref="X3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2" s="26">
        <f>DURATION(Table1[[#This Row],[Issue date]],Table1[[#This Row],[Maturity date]],Table1[[#This Row],[Current coupon %]],Table1[[#This Row],[Yield (Annualised)]],Table1[[#This Row],[Coupon Frequency2]])</f>
        <v>4.3417264253591927</v>
      </c>
      <c r="Z342" s="26">
        <f>Table1[[#This Row],[Macaulay Duration in Years]]/(1+Table1[[#This Row],[IRR]])</f>
        <v>3.9939783018469686</v>
      </c>
      <c r="AA342" s="27">
        <f>VLOOKUP(Table1[[#This Row],[Yield Cluster]],'[1]Cluster Details'!$B$3:$C$16,2,0)</f>
        <v>7.8548801574189142E-2</v>
      </c>
      <c r="AB342" s="28">
        <f>PRICE(Table1[[#This Row],[Issue date]],Table1[[#This Row],[Maturity date]],Table1[[#This Row],[Current coupon %]],Table1[[#This Row],[Average Cluster Yield]],100,Table1[[#This Row],[Coupon Frequency2]])*Table1[[#This Row],[Face value]]/100</f>
        <v>1081135.3822302525</v>
      </c>
      <c r="AC342" s="27" t="str">
        <f>IF(Table1[[#This Row],[Ask Price]]&gt;Table1[[#This Row],[Calculated Bond Price]],"Rich","Cheap")</f>
        <v>Cheap</v>
      </c>
      <c r="AD342" s="28">
        <f>PRICE(Table1[[#This Row],[Issue date]],Table1[[#This Row],[Maturity date]],Table1[[#This Row],[Current coupon %]],Table1[[#This Row],[Yield (Annualised)]]+$AE$2,100,Table1[[#This Row],[Coupon Frequency2]])*Table1[[#This Row],[Face value]]/100</f>
        <v>1000646.6765296818</v>
      </c>
      <c r="AE342" s="28">
        <f>PRICE(Table1[[#This Row],[Issue date]],Table1[[#This Row],[Maturity date]],Table1[[#This Row],[Current coupon %]],Table1[[#This Row],[Yield (Annualised)]]-$AE$2,100,Table1[[#This Row],[Coupon Frequency2]])*Table1[[#This Row],[Face value]]/100</f>
        <v>1087936.9003231549</v>
      </c>
      <c r="AF342" s="28">
        <f>(Table1[[#This Row],[P (+ shock)]]+Table1[[#This Row],[P (-shock)]]-2*Table1[[#This Row],[Ask Price]])/(2*Table1[[#This Row],[Ask Price]]*($AE$2^2))</f>
        <v>32.710452012738394</v>
      </c>
    </row>
    <row r="343" spans="1:32" x14ac:dyDescent="0.25">
      <c r="A343" s="21" t="s">
        <v>732</v>
      </c>
      <c r="B343" s="3" t="s">
        <v>733</v>
      </c>
      <c r="C343" s="3" t="s">
        <v>19</v>
      </c>
      <c r="D343" s="4">
        <v>44315</v>
      </c>
      <c r="E343" s="4">
        <v>46141</v>
      </c>
      <c r="F343" s="3">
        <v>1000</v>
      </c>
      <c r="G343" s="3" t="s">
        <v>20</v>
      </c>
      <c r="H343" s="3">
        <v>1021</v>
      </c>
      <c r="I343" s="3" t="s">
        <v>20</v>
      </c>
      <c r="J343" s="3">
        <v>102.1</v>
      </c>
      <c r="K343" s="3">
        <v>5</v>
      </c>
      <c r="L343" s="5">
        <v>9.5500000000000002E-2</v>
      </c>
      <c r="M343" s="3" t="s">
        <v>21</v>
      </c>
      <c r="N343" s="3">
        <v>224</v>
      </c>
      <c r="O343" s="6">
        <f>Table1[[#This Row],[Current coupon %]]*Table1[[#This Row],[Face value]]/Table1[[#This Row],[Ask Price]]</f>
        <v>9.3535749265426057E-2</v>
      </c>
      <c r="P343" s="3"/>
      <c r="Q343" s="3" t="s">
        <v>22</v>
      </c>
      <c r="R343">
        <f t="shared" si="5"/>
        <v>5</v>
      </c>
      <c r="S343" s="22" cm="1">
        <f t="array" ref="S343">_xlfn.IFS(Table1[[#This Row],[Coupon frequency]]="Semi-annual",2,Table1[[#This Row],[Coupon frequency]]="Quarterly",4,Table1[[#This Row],[Coupon frequency]]="Annual",1,Table1[[#This Row],[Coupon frequency]]="Every 4 months",3,Table1[[#This Row],[Coupon frequency]]="Monthly",12)</f>
        <v>1</v>
      </c>
      <c r="T343">
        <f>Table1[[#This Row],[Term to Maturity (Years)]]*Table1[[#This Row],[Coupon Frequency2]]</f>
        <v>5</v>
      </c>
      <c r="U343">
        <f>Table1[[#This Row],[Face value]]*Table1[[#This Row],[Current coupon %]]/Table1[[#This Row],[Coupon Frequency2]]</f>
        <v>95.5</v>
      </c>
      <c r="V343" s="23">
        <f>RATE(Table1[[#This Row],[Total No. of Coupons]],Table1[[#This Row],[Coupon Amount]],-Table1[[#This Row],[Ask Price]],Table1[[#This Row],[Face value]])</f>
        <v>9.0099662213415352E-2</v>
      </c>
      <c r="W343" s="24">
        <f>Table1[[#This Row],[IRR]]*Table1[[#This Row],[Coupon Frequency2]]</f>
        <v>9.0099662213415352E-2</v>
      </c>
      <c r="X343" s="25" cm="1">
        <f t="array" ref="X3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3" s="26">
        <f>DURATION(Table1[[#This Row],[Issue date]],Table1[[#This Row],[Maturity date]],Table1[[#This Row],[Current coupon %]],Table1[[#This Row],[Yield (Annualised)]],Table1[[#This Row],[Coupon Frequency2]])</f>
        <v>4.2099898446081863</v>
      </c>
      <c r="Z343" s="26">
        <f>Table1[[#This Row],[Macaulay Duration in Years]]/(1+Table1[[#This Row],[IRR]])</f>
        <v>3.8620228870266096</v>
      </c>
      <c r="AA343" s="27">
        <f>VLOOKUP(Table1[[#This Row],[Yield Cluster]],'[1]Cluster Details'!$B$3:$C$16,2,0)</f>
        <v>7.8548801574189142E-2</v>
      </c>
      <c r="AB343" s="28">
        <f>PRICE(Table1[[#This Row],[Issue date]],Table1[[#This Row],[Maturity date]],Table1[[#This Row],[Current coupon %]],Table1[[#This Row],[Average Cluster Yield]],100,Table1[[#This Row],[Coupon Frequency2]])*Table1[[#This Row],[Face value]]/100</f>
        <v>1067.9408802618509</v>
      </c>
      <c r="AC343" s="27" t="str">
        <f>IF(Table1[[#This Row],[Ask Price]]&gt;Table1[[#This Row],[Calculated Bond Price]],"Rich","Cheap")</f>
        <v>Cheap</v>
      </c>
      <c r="AD343" s="28">
        <f>PRICE(Table1[[#This Row],[Issue date]],Table1[[#This Row],[Maturity date]],Table1[[#This Row],[Current coupon %]],Table1[[#This Row],[Yield (Annualised)]]+$AE$2,100,Table1[[#This Row],[Coupon Frequency2]])*Table1[[#This Row],[Face value]]/100</f>
        <v>982.56809977539319</v>
      </c>
      <c r="AE343" s="28">
        <f>PRICE(Table1[[#This Row],[Issue date]],Table1[[#This Row],[Maturity date]],Table1[[#This Row],[Current coupon %]],Table1[[#This Row],[Yield (Annualised)]]-$AE$2,100,Table1[[#This Row],[Coupon Frequency2]])*Table1[[#This Row],[Face value]]/100</f>
        <v>1061.4729351856456</v>
      </c>
      <c r="AF343" s="28">
        <f>(Table1[[#This Row],[P (+ shock)]]+Table1[[#This Row],[P (-shock)]]-2*Table1[[#This Row],[Ask Price]])/(2*Table1[[#This Row],[Ask Price]]*($AE$2^2))</f>
        <v>9.995274050141056</v>
      </c>
    </row>
    <row r="344" spans="1:32" x14ac:dyDescent="0.25">
      <c r="A344" s="21" t="s">
        <v>734</v>
      </c>
      <c r="B344" s="3" t="s">
        <v>735</v>
      </c>
      <c r="C344" s="3" t="s">
        <v>19</v>
      </c>
      <c r="D344" s="4">
        <v>45589</v>
      </c>
      <c r="E344" s="4">
        <v>46684</v>
      </c>
      <c r="F344" s="3">
        <v>1000</v>
      </c>
      <c r="G344" s="3" t="s">
        <v>20</v>
      </c>
      <c r="H344" s="3">
        <v>1070</v>
      </c>
      <c r="I344" s="3" t="s">
        <v>20</v>
      </c>
      <c r="J344" s="3">
        <v>107</v>
      </c>
      <c r="K344" s="3">
        <v>18</v>
      </c>
      <c r="L344" s="5">
        <v>0.1</v>
      </c>
      <c r="M344" s="3" t="s">
        <v>21</v>
      </c>
      <c r="N344" s="3">
        <v>767</v>
      </c>
      <c r="O344" s="6">
        <f>Table1[[#This Row],[Current coupon %]]*Table1[[#This Row],[Face value]]/Table1[[#This Row],[Ask Price]]</f>
        <v>9.3457943925233641E-2</v>
      </c>
      <c r="P344" s="3"/>
      <c r="Q344" s="3" t="s">
        <v>22</v>
      </c>
      <c r="R344">
        <f t="shared" si="5"/>
        <v>3</v>
      </c>
      <c r="S344" s="22" cm="1">
        <f t="array" ref="S344">_xlfn.IFS(Table1[[#This Row],[Coupon frequency]]="Semi-annual",2,Table1[[#This Row],[Coupon frequency]]="Quarterly",4,Table1[[#This Row],[Coupon frequency]]="Annual",1,Table1[[#This Row],[Coupon frequency]]="Every 4 months",3,Table1[[#This Row],[Coupon frequency]]="Monthly",12)</f>
        <v>1</v>
      </c>
      <c r="T344">
        <f>Table1[[#This Row],[Term to Maturity (Years)]]*Table1[[#This Row],[Coupon Frequency2]]</f>
        <v>3</v>
      </c>
      <c r="U344">
        <f>Table1[[#This Row],[Face value]]*Table1[[#This Row],[Current coupon %]]/Table1[[#This Row],[Coupon Frequency2]]</f>
        <v>100</v>
      </c>
      <c r="V344" s="23">
        <f>RATE(Table1[[#This Row],[Total No. of Coupons]],Table1[[#This Row],[Coupon Amount]],-Table1[[#This Row],[Ask Price]],Table1[[#This Row],[Face value]])</f>
        <v>7.3171675458810273E-2</v>
      </c>
      <c r="W344" s="24">
        <f>Table1[[#This Row],[IRR]]*Table1[[#This Row],[Coupon Frequency2]]</f>
        <v>7.3171675458810273E-2</v>
      </c>
      <c r="X344" s="25" cm="1">
        <f t="array" ref="X3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4" s="26">
        <f>DURATION(Table1[[#This Row],[Issue date]],Table1[[#This Row],[Maturity date]],Table1[[#This Row],[Current coupon %]],Table1[[#This Row],[Yield (Annualised)]],Table1[[#This Row],[Coupon Frequency2]])</f>
        <v>2.7446805306944317</v>
      </c>
      <c r="Z344" s="26">
        <f>Table1[[#This Row],[Macaulay Duration in Years]]/(1+Table1[[#This Row],[IRR]])</f>
        <v>2.557540972669639</v>
      </c>
      <c r="AA344" s="27">
        <f>VLOOKUP(Table1[[#This Row],[Yield Cluster]],'[1]Cluster Details'!$B$3:$C$16,2,0)</f>
        <v>7.8548801574189142E-2</v>
      </c>
      <c r="AB344" s="28">
        <f>PRICE(Table1[[#This Row],[Issue date]],Table1[[#This Row],[Maturity date]],Table1[[#This Row],[Current coupon %]],Table1[[#This Row],[Average Cluster Yield]],100,Table1[[#This Row],[Coupon Frequency2]])*Table1[[#This Row],[Face value]]/100</f>
        <v>1055.4268965673293</v>
      </c>
      <c r="AC344" s="27" t="str">
        <f>IF(Table1[[#This Row],[Ask Price]]&gt;Table1[[#This Row],[Calculated Bond Price]],"Rich","Cheap")</f>
        <v>Rich</v>
      </c>
      <c r="AD344" s="28">
        <f>PRICE(Table1[[#This Row],[Issue date]],Table1[[#This Row],[Maturity date]],Table1[[#This Row],[Current coupon %]],Table1[[#This Row],[Yield (Annualised)]]+$AE$2,100,Table1[[#This Row],[Coupon Frequency2]])*Table1[[#This Row],[Face value]]/100</f>
        <v>1043.121224222627</v>
      </c>
      <c r="AE344" s="28">
        <f>PRICE(Table1[[#This Row],[Issue date]],Table1[[#This Row],[Maturity date]],Table1[[#This Row],[Current coupon %]],Table1[[#This Row],[Yield (Annualised)]]-$AE$2,100,Table1[[#This Row],[Coupon Frequency2]])*Table1[[#This Row],[Face value]]/100</f>
        <v>1097.8677180350135</v>
      </c>
      <c r="AF344" s="28">
        <f>(Table1[[#This Row],[P (+ shock)]]+Table1[[#This Row],[P (-shock)]]-2*Table1[[#This Row],[Ask Price]])/(2*Table1[[#This Row],[Ask Price]]*($AE$2^2))</f>
        <v>4.6212255029939318</v>
      </c>
    </row>
    <row r="345" spans="1:32" x14ac:dyDescent="0.25">
      <c r="A345" s="21" t="s">
        <v>736</v>
      </c>
      <c r="B345" s="3" t="s">
        <v>737</v>
      </c>
      <c r="C345" s="3" t="s">
        <v>19</v>
      </c>
      <c r="D345" s="4">
        <v>45455</v>
      </c>
      <c r="E345" s="4">
        <v>46185</v>
      </c>
      <c r="F345" s="3">
        <v>1000</v>
      </c>
      <c r="G345" s="3" t="s">
        <v>20</v>
      </c>
      <c r="H345" s="3">
        <v>1001</v>
      </c>
      <c r="I345" s="3" t="s">
        <v>20</v>
      </c>
      <c r="J345" s="3">
        <v>100.1</v>
      </c>
      <c r="K345" s="3">
        <v>4</v>
      </c>
      <c r="L345" s="5">
        <v>9.35E-2</v>
      </c>
      <c r="M345" s="3" t="s">
        <v>21</v>
      </c>
      <c r="N345" s="3">
        <v>268</v>
      </c>
      <c r="O345" s="6">
        <f>Table1[[#This Row],[Current coupon %]]*Table1[[#This Row],[Face value]]/Table1[[#This Row],[Ask Price]]</f>
        <v>9.3406593406593408E-2</v>
      </c>
      <c r="P345" s="3"/>
      <c r="Q345" s="3" t="s">
        <v>22</v>
      </c>
      <c r="R345">
        <f t="shared" si="5"/>
        <v>2</v>
      </c>
      <c r="S345" s="22" cm="1">
        <f t="array" ref="S345">_xlfn.IFS(Table1[[#This Row],[Coupon frequency]]="Semi-annual",2,Table1[[#This Row],[Coupon frequency]]="Quarterly",4,Table1[[#This Row],[Coupon frequency]]="Annual",1,Table1[[#This Row],[Coupon frequency]]="Every 4 months",3,Table1[[#This Row],[Coupon frequency]]="Monthly",12)</f>
        <v>1</v>
      </c>
      <c r="T345">
        <f>Table1[[#This Row],[Term to Maturity (Years)]]*Table1[[#This Row],[Coupon Frequency2]]</f>
        <v>2</v>
      </c>
      <c r="U345">
        <f>Table1[[#This Row],[Face value]]*Table1[[#This Row],[Current coupon %]]/Table1[[#This Row],[Coupon Frequency2]]</f>
        <v>93.5</v>
      </c>
      <c r="V345" s="23">
        <f>RATE(Table1[[#This Row],[Total No. of Coupons]],Table1[[#This Row],[Coupon Amount]],-Table1[[#This Row],[Ask Price]],Table1[[#This Row],[Face value]])</f>
        <v>9.2929271495811788E-2</v>
      </c>
      <c r="W345" s="24">
        <f>Table1[[#This Row],[IRR]]*Table1[[#This Row],[Coupon Frequency2]]</f>
        <v>9.2929271495811788E-2</v>
      </c>
      <c r="X345" s="25" cm="1">
        <f t="array" ref="X3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5" s="26">
        <f>DURATION(Table1[[#This Row],[Issue date]],Table1[[#This Row],[Maturity date]],Table1[[#This Row],[Current coupon %]],Table1[[#This Row],[Yield (Annualised)]],Table1[[#This Row],[Coupon Frequency2]])</f>
        <v>1.9145355551885304</v>
      </c>
      <c r="Z345" s="26">
        <f>Table1[[#This Row],[Macaulay Duration in Years]]/(1+Table1[[#This Row],[IRR]])</f>
        <v>1.7517469841101854</v>
      </c>
      <c r="AA345" s="27">
        <f>VLOOKUP(Table1[[#This Row],[Yield Cluster]],'[1]Cluster Details'!$B$3:$C$16,2,0)</f>
        <v>7.8548801574189142E-2</v>
      </c>
      <c r="AB345" s="28">
        <f>PRICE(Table1[[#This Row],[Issue date]],Table1[[#This Row],[Maturity date]],Table1[[#This Row],[Current coupon %]],Table1[[#This Row],[Average Cluster Yield]],100,Table1[[#This Row],[Coupon Frequency2]])*Table1[[#This Row],[Face value]]/100</f>
        <v>1026.7150892686643</v>
      </c>
      <c r="AC345" s="27" t="str">
        <f>IF(Table1[[#This Row],[Ask Price]]&gt;Table1[[#This Row],[Calculated Bond Price]],"Rich","Cheap")</f>
        <v>Cheap</v>
      </c>
      <c r="AD345" s="28">
        <f>PRICE(Table1[[#This Row],[Issue date]],Table1[[#This Row],[Maturity date]],Table1[[#This Row],[Current coupon %]],Table1[[#This Row],[Yield (Annualised)]]+$AE$2,100,Table1[[#This Row],[Coupon Frequency2]])*Table1[[#This Row],[Face value]]/100</f>
        <v>983.69925398078908</v>
      </c>
      <c r="AE345" s="28">
        <f>PRICE(Table1[[#This Row],[Issue date]],Table1[[#This Row],[Maturity date]],Table1[[#This Row],[Current coupon %]],Table1[[#This Row],[Yield (Annualised)]]-$AE$2,100,Table1[[#This Row],[Coupon Frequency2]])*Table1[[#This Row],[Face value]]/100</f>
        <v>1018.7749701934666</v>
      </c>
      <c r="AF345" s="28">
        <f>(Table1[[#This Row],[P (+ shock)]]+Table1[[#This Row],[P (-shock)]]-2*Table1[[#This Row],[Ask Price]])/(2*Table1[[#This Row],[Ask Price]]*($AE$2^2))</f>
        <v>2.3687521191588217</v>
      </c>
    </row>
    <row r="346" spans="1:32" x14ac:dyDescent="0.25">
      <c r="A346" s="21" t="s">
        <v>738</v>
      </c>
      <c r="B346" s="3" t="s">
        <v>739</v>
      </c>
      <c r="C346" s="3" t="s">
        <v>19</v>
      </c>
      <c r="D346" s="4">
        <v>44916</v>
      </c>
      <c r="E346" s="4">
        <v>47087</v>
      </c>
      <c r="F346" s="3">
        <v>1000000</v>
      </c>
      <c r="G346" s="3" t="s">
        <v>20</v>
      </c>
      <c r="H346" s="3">
        <v>1030000</v>
      </c>
      <c r="I346" s="3" t="s">
        <v>20</v>
      </c>
      <c r="J346" s="3">
        <v>103</v>
      </c>
      <c r="K346" s="3">
        <v>1</v>
      </c>
      <c r="L346" s="5">
        <v>9.6199999999999994E-2</v>
      </c>
      <c r="M346" s="3" t="s">
        <v>44</v>
      </c>
      <c r="N346" s="3">
        <v>1170</v>
      </c>
      <c r="O346" s="6">
        <f>Table1[[#This Row],[Current coupon %]]*Table1[[#This Row],[Face value]]/Table1[[#This Row],[Ask Price]]</f>
        <v>9.3398058252427182E-2</v>
      </c>
      <c r="P346" s="3"/>
      <c r="Q346" s="3" t="s">
        <v>22</v>
      </c>
      <c r="R346">
        <f t="shared" si="5"/>
        <v>6</v>
      </c>
      <c r="S346" s="22" cm="1">
        <f t="array" ref="S346">_xlfn.IFS(Table1[[#This Row],[Coupon frequency]]="Semi-annual",2,Table1[[#This Row],[Coupon frequency]]="Quarterly",4,Table1[[#This Row],[Coupon frequency]]="Annual",1,Table1[[#This Row],[Coupon frequency]]="Every 4 months",3,Table1[[#This Row],[Coupon frequency]]="Monthly",12)</f>
        <v>4</v>
      </c>
      <c r="T346">
        <f>Table1[[#This Row],[Term to Maturity (Years)]]*Table1[[#This Row],[Coupon Frequency2]]</f>
        <v>24</v>
      </c>
      <c r="U346">
        <f>Table1[[#This Row],[Face value]]*Table1[[#This Row],[Current coupon %]]/Table1[[#This Row],[Coupon Frequency2]]</f>
        <v>24050</v>
      </c>
      <c r="V346" s="23">
        <f>RATE(Table1[[#This Row],[Total No. of Coupons]],Table1[[#This Row],[Coupon Amount]],-Table1[[#This Row],[Ask Price]],Table1[[#This Row],[Face value]])</f>
        <v>2.2420051890087497E-2</v>
      </c>
      <c r="W346" s="24">
        <f>Table1[[#This Row],[IRR]]*Table1[[#This Row],[Coupon Frequency2]]</f>
        <v>8.9680207560349987E-2</v>
      </c>
      <c r="X346" s="25" cm="1">
        <f t="array" ref="X3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6" s="26">
        <f>DURATION(Table1[[#This Row],[Issue date]],Table1[[#This Row],[Maturity date]],Table1[[#This Row],[Current coupon %]],Table1[[#This Row],[Yield (Annualised)]],Table1[[#This Row],[Coupon Frequency2]])</f>
        <v>4.5924974577156217</v>
      </c>
      <c r="Z346" s="26">
        <f>Table1[[#This Row],[Macaulay Duration in Years]]/(1+Table1[[#This Row],[IRR]])</f>
        <v>4.4917912644863955</v>
      </c>
      <c r="AA346" s="27">
        <f>VLOOKUP(Table1[[#This Row],[Yield Cluster]],'[1]Cluster Details'!$B$3:$C$16,2,0)</f>
        <v>7.8548801574189142E-2</v>
      </c>
      <c r="AB346" s="28">
        <f>PRICE(Table1[[#This Row],[Issue date]],Table1[[#This Row],[Maturity date]],Table1[[#This Row],[Current coupon %]],Table1[[#This Row],[Average Cluster Yield]],100,Table1[[#This Row],[Coupon Frequency2]])*Table1[[#This Row],[Face value]]/100</f>
        <v>1083124.8004857581</v>
      </c>
      <c r="AC346" s="27" t="str">
        <f>IF(Table1[[#This Row],[Ask Price]]&gt;Table1[[#This Row],[Calculated Bond Price]],"Rich","Cheap")</f>
        <v>Cheap</v>
      </c>
      <c r="AD346" s="28">
        <f>PRICE(Table1[[#This Row],[Issue date]],Table1[[#This Row],[Maturity date]],Table1[[#This Row],[Current coupon %]],Table1[[#This Row],[Yield (Annualised)]]+$AE$2,100,Table1[[#This Row],[Coupon Frequency2]])*Table1[[#This Row],[Face value]]/100</f>
        <v>984483.94053096185</v>
      </c>
      <c r="AE346" s="28">
        <f>PRICE(Table1[[#This Row],[Issue date]],Table1[[#This Row],[Maturity date]],Table1[[#This Row],[Current coupon %]],Table1[[#This Row],[Yield (Annualised)]]-$AE$2,100,Table1[[#This Row],[Coupon Frequency2]])*Table1[[#This Row],[Face value]]/100</f>
        <v>1077546.2446096484</v>
      </c>
      <c r="AF346" s="28">
        <f>(Table1[[#This Row],[P (+ shock)]]+Table1[[#This Row],[P (-shock)]]-2*Table1[[#This Row],[Ask Price]])/(2*Table1[[#This Row],[Ask Price]]*($AE$2^2))</f>
        <v>9.8552676728650823</v>
      </c>
    </row>
    <row r="347" spans="1:32" x14ac:dyDescent="0.25">
      <c r="A347" s="21" t="s">
        <v>740</v>
      </c>
      <c r="B347" s="3" t="s">
        <v>741</v>
      </c>
      <c r="C347" s="3" t="s">
        <v>19</v>
      </c>
      <c r="D347" s="4">
        <v>44726</v>
      </c>
      <c r="E347" s="4">
        <v>46904</v>
      </c>
      <c r="F347" s="3">
        <v>1000000</v>
      </c>
      <c r="G347" s="3" t="s">
        <v>20</v>
      </c>
      <c r="H347" s="3">
        <v>1030000</v>
      </c>
      <c r="I347" s="3" t="s">
        <v>20</v>
      </c>
      <c r="J347" s="3">
        <v>103</v>
      </c>
      <c r="K347" s="3">
        <v>2</v>
      </c>
      <c r="L347" s="5">
        <v>9.6199999999999994E-2</v>
      </c>
      <c r="M347" s="3" t="s">
        <v>44</v>
      </c>
      <c r="N347" s="3">
        <v>987</v>
      </c>
      <c r="O347" s="6">
        <f>Table1[[#This Row],[Current coupon %]]*Table1[[#This Row],[Face value]]/Table1[[#This Row],[Ask Price]]</f>
        <v>9.3398058252427182E-2</v>
      </c>
      <c r="P347" s="3"/>
      <c r="Q347" s="3" t="s">
        <v>22</v>
      </c>
      <c r="R347">
        <f t="shared" si="5"/>
        <v>6</v>
      </c>
      <c r="S347" s="22" cm="1">
        <f t="array" ref="S347">_xlfn.IFS(Table1[[#This Row],[Coupon frequency]]="Semi-annual",2,Table1[[#This Row],[Coupon frequency]]="Quarterly",4,Table1[[#This Row],[Coupon frequency]]="Annual",1,Table1[[#This Row],[Coupon frequency]]="Every 4 months",3,Table1[[#This Row],[Coupon frequency]]="Monthly",12)</f>
        <v>4</v>
      </c>
      <c r="T347">
        <f>Table1[[#This Row],[Term to Maturity (Years)]]*Table1[[#This Row],[Coupon Frequency2]]</f>
        <v>24</v>
      </c>
      <c r="U347">
        <f>Table1[[#This Row],[Face value]]*Table1[[#This Row],[Current coupon %]]/Table1[[#This Row],[Coupon Frequency2]]</f>
        <v>24050</v>
      </c>
      <c r="V347" s="23">
        <f>RATE(Table1[[#This Row],[Total No. of Coupons]],Table1[[#This Row],[Coupon Amount]],-Table1[[#This Row],[Ask Price]],Table1[[#This Row],[Face value]])</f>
        <v>2.2420051890087497E-2</v>
      </c>
      <c r="W347" s="24">
        <f>Table1[[#This Row],[IRR]]*Table1[[#This Row],[Coupon Frequency2]]</f>
        <v>8.9680207560349987E-2</v>
      </c>
      <c r="X347" s="25" cm="1">
        <f t="array" ref="X3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7" s="26">
        <f>DURATION(Table1[[#This Row],[Issue date]],Table1[[#This Row],[Maturity date]],Table1[[#This Row],[Current coupon %]],Table1[[#This Row],[Yield (Annualised)]],Table1[[#This Row],[Coupon Frequency2]])</f>
        <v>4.6119419021600656</v>
      </c>
      <c r="Z347" s="26">
        <f>Table1[[#This Row],[Macaulay Duration in Years]]/(1+Table1[[#This Row],[IRR]])</f>
        <v>4.5108093230705339</v>
      </c>
      <c r="AA347" s="27">
        <f>VLOOKUP(Table1[[#This Row],[Yield Cluster]],'[1]Cluster Details'!$B$3:$C$16,2,0)</f>
        <v>7.8548801574189142E-2</v>
      </c>
      <c r="AB347" s="28">
        <f>PRICE(Table1[[#This Row],[Issue date]],Table1[[#This Row],[Maturity date]],Table1[[#This Row],[Current coupon %]],Table1[[#This Row],[Average Cluster Yield]],100,Table1[[#This Row],[Coupon Frequency2]])*Table1[[#This Row],[Face value]]/100</f>
        <v>1083349.8488231311</v>
      </c>
      <c r="AC347" s="27" t="str">
        <f>IF(Table1[[#This Row],[Ask Price]]&gt;Table1[[#This Row],[Calculated Bond Price]],"Rich","Cheap")</f>
        <v>Cheap</v>
      </c>
      <c r="AD347" s="28">
        <f>PRICE(Table1[[#This Row],[Issue date]],Table1[[#This Row],[Maturity date]],Table1[[#This Row],[Current coupon %]],Table1[[#This Row],[Yield (Annualised)]]+$AE$2,100,Table1[[#This Row],[Coupon Frequency2]])*Table1[[#This Row],[Face value]]/100</f>
        <v>984460.80126136634</v>
      </c>
      <c r="AE347" s="28">
        <f>PRICE(Table1[[#This Row],[Issue date]],Table1[[#This Row],[Maturity date]],Table1[[#This Row],[Current coupon %]],Table1[[#This Row],[Yield (Annualised)]]-$AE$2,100,Table1[[#This Row],[Coupon Frequency2]])*Table1[[#This Row],[Face value]]/100</f>
        <v>1077756.393063321</v>
      </c>
      <c r="AF347" s="28">
        <f>(Table1[[#This Row],[P (+ shock)]]+Table1[[#This Row],[P (-shock)]]-2*Table1[[#This Row],[Ask Price]])/(2*Table1[[#This Row],[Ask Price]]*($AE$2^2))</f>
        <v>10.763079246055128</v>
      </c>
    </row>
    <row r="348" spans="1:32" x14ac:dyDescent="0.25">
      <c r="A348" s="21" t="s">
        <v>742</v>
      </c>
      <c r="B348" s="3" t="s">
        <v>743</v>
      </c>
      <c r="C348" s="3" t="s">
        <v>19</v>
      </c>
      <c r="D348" s="4">
        <v>44916</v>
      </c>
      <c r="E348" s="4">
        <v>47816</v>
      </c>
      <c r="F348" s="3">
        <v>1000000</v>
      </c>
      <c r="G348" s="3" t="s">
        <v>20</v>
      </c>
      <c r="H348" s="3">
        <v>1030000</v>
      </c>
      <c r="I348" s="3" t="s">
        <v>20</v>
      </c>
      <c r="J348" s="3">
        <v>103</v>
      </c>
      <c r="K348" s="3">
        <v>1</v>
      </c>
      <c r="L348" s="5">
        <v>9.6199999999999994E-2</v>
      </c>
      <c r="M348" s="3" t="s">
        <v>44</v>
      </c>
      <c r="N348" s="3">
        <v>1899</v>
      </c>
      <c r="O348" s="6">
        <f>Table1[[#This Row],[Current coupon %]]*Table1[[#This Row],[Face value]]/Table1[[#This Row],[Ask Price]]</f>
        <v>9.3398058252427182E-2</v>
      </c>
      <c r="P348" s="3"/>
      <c r="Q348" s="3" t="s">
        <v>22</v>
      </c>
      <c r="R348">
        <f t="shared" si="5"/>
        <v>8</v>
      </c>
      <c r="S348" s="22" cm="1">
        <f t="array" ref="S348">_xlfn.IFS(Table1[[#This Row],[Coupon frequency]]="Semi-annual",2,Table1[[#This Row],[Coupon frequency]]="Quarterly",4,Table1[[#This Row],[Coupon frequency]]="Annual",1,Table1[[#This Row],[Coupon frequency]]="Every 4 months",3,Table1[[#This Row],[Coupon frequency]]="Monthly",12)</f>
        <v>4</v>
      </c>
      <c r="T348">
        <f>Table1[[#This Row],[Term to Maturity (Years)]]*Table1[[#This Row],[Coupon Frequency2]]</f>
        <v>32</v>
      </c>
      <c r="U348">
        <f>Table1[[#This Row],[Face value]]*Table1[[#This Row],[Current coupon %]]/Table1[[#This Row],[Coupon Frequency2]]</f>
        <v>24050</v>
      </c>
      <c r="V348" s="23">
        <f>RATE(Table1[[#This Row],[Total No. of Coupons]],Table1[[#This Row],[Coupon Amount]],-Table1[[#This Row],[Ask Price]],Table1[[#This Row],[Face value]])</f>
        <v>2.2720592353313168E-2</v>
      </c>
      <c r="W348" s="24">
        <f>Table1[[#This Row],[IRR]]*Table1[[#This Row],[Coupon Frequency2]]</f>
        <v>9.0882369413252673E-2</v>
      </c>
      <c r="X348" s="25" cm="1">
        <f t="array" ref="X3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8" s="26">
        <f>DURATION(Table1[[#This Row],[Issue date]],Table1[[#This Row],[Maturity date]],Table1[[#This Row],[Current coupon %]],Table1[[#This Row],[Yield (Annualised)]],Table1[[#This Row],[Coupon Frequency2]])</f>
        <v>5.6469462417444278</v>
      </c>
      <c r="Z348" s="26">
        <f>Table1[[#This Row],[Macaulay Duration in Years]]/(1+Table1[[#This Row],[IRR]])</f>
        <v>5.5214946134511891</v>
      </c>
      <c r="AA348" s="27">
        <f>VLOOKUP(Table1[[#This Row],[Yield Cluster]],'[1]Cluster Details'!$B$3:$C$16,2,0)</f>
        <v>7.8548801574189142E-2</v>
      </c>
      <c r="AB348" s="28">
        <f>PRICE(Table1[[#This Row],[Issue date]],Table1[[#This Row],[Maturity date]],Table1[[#This Row],[Current coupon %]],Table1[[#This Row],[Average Cluster Yield]],100,Table1[[#This Row],[Coupon Frequency2]])*Table1[[#This Row],[Face value]]/100</f>
        <v>1103491.3472085169</v>
      </c>
      <c r="AC348" s="27" t="str">
        <f>IF(Table1[[#This Row],[Ask Price]]&gt;Table1[[#This Row],[Calculated Bond Price]],"Rich","Cheap")</f>
        <v>Cheap</v>
      </c>
      <c r="AD348" s="28">
        <f>PRICE(Table1[[#This Row],[Issue date]],Table1[[#This Row],[Maturity date]],Table1[[#This Row],[Current coupon %]],Table1[[#This Row],[Yield (Annualised)]]+$AE$2,100,Table1[[#This Row],[Coupon Frequency2]])*Table1[[#This Row],[Face value]]/100</f>
        <v>974575.23517599597</v>
      </c>
      <c r="AE348" s="28">
        <f>PRICE(Table1[[#This Row],[Issue date]],Table1[[#This Row],[Maturity date]],Table1[[#This Row],[Current coupon %]],Table1[[#This Row],[Yield (Annualised)]]-$AE$2,100,Table1[[#This Row],[Coupon Frequency2]])*Table1[[#This Row],[Face value]]/100</f>
        <v>1089048.4411512648</v>
      </c>
      <c r="AF348" s="28">
        <f>(Table1[[#This Row],[P (+ shock)]]+Table1[[#This Row],[P (-shock)]]-2*Table1[[#This Row],[Ask Price]])/(2*Table1[[#This Row],[Ask Price]]*($AE$2^2))</f>
        <v>17.59066178281882</v>
      </c>
    </row>
    <row r="349" spans="1:32" x14ac:dyDescent="0.25">
      <c r="A349" s="21" t="s">
        <v>744</v>
      </c>
      <c r="B349" s="3" t="s">
        <v>745</v>
      </c>
      <c r="C349" s="3" t="s">
        <v>19</v>
      </c>
      <c r="D349" s="4">
        <v>45287</v>
      </c>
      <c r="E349" s="4">
        <v>47114</v>
      </c>
      <c r="F349" s="3">
        <v>1000</v>
      </c>
      <c r="G349" s="3" t="s">
        <v>20</v>
      </c>
      <c r="H349" s="3">
        <v>1071</v>
      </c>
      <c r="I349" s="3" t="s">
        <v>20</v>
      </c>
      <c r="J349" s="3">
        <v>107.1</v>
      </c>
      <c r="K349" s="3">
        <v>100</v>
      </c>
      <c r="L349" s="5">
        <v>0.1</v>
      </c>
      <c r="M349" s="3" t="s">
        <v>21</v>
      </c>
      <c r="N349" s="3">
        <v>1197</v>
      </c>
      <c r="O349" s="6">
        <f>Table1[[#This Row],[Current coupon %]]*Table1[[#This Row],[Face value]]/Table1[[#This Row],[Ask Price]]</f>
        <v>9.3370681605975725E-2</v>
      </c>
      <c r="P349" s="3"/>
      <c r="Q349" s="3" t="s">
        <v>22</v>
      </c>
      <c r="R349">
        <f t="shared" si="5"/>
        <v>5</v>
      </c>
      <c r="S349" s="22" cm="1">
        <f t="array" ref="S349">_xlfn.IFS(Table1[[#This Row],[Coupon frequency]]="Semi-annual",2,Table1[[#This Row],[Coupon frequency]]="Quarterly",4,Table1[[#This Row],[Coupon frequency]]="Annual",1,Table1[[#This Row],[Coupon frequency]]="Every 4 months",3,Table1[[#This Row],[Coupon frequency]]="Monthly",12)</f>
        <v>1</v>
      </c>
      <c r="T349">
        <f>Table1[[#This Row],[Term to Maturity (Years)]]*Table1[[#This Row],[Coupon Frequency2]]</f>
        <v>5</v>
      </c>
      <c r="U349">
        <f>Table1[[#This Row],[Face value]]*Table1[[#This Row],[Current coupon %]]/Table1[[#This Row],[Coupon Frequency2]]</f>
        <v>100</v>
      </c>
      <c r="V349" s="23">
        <f>RATE(Table1[[#This Row],[Total No. of Coupons]],Table1[[#This Row],[Coupon Amount]],-Table1[[#This Row],[Ask Price]],Table1[[#This Row],[Face value]])</f>
        <v>8.2118204597336888E-2</v>
      </c>
      <c r="W349" s="24">
        <f>Table1[[#This Row],[IRR]]*Table1[[#This Row],[Coupon Frequency2]]</f>
        <v>8.2118204597336888E-2</v>
      </c>
      <c r="X349" s="25" cm="1">
        <f t="array" ref="X3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49" s="26">
        <f>DURATION(Table1[[#This Row],[Issue date]],Table1[[#This Row],[Maturity date]],Table1[[#This Row],[Current coupon %]],Table1[[#This Row],[Yield (Annualised)]],Table1[[#This Row],[Coupon Frequency2]])</f>
        <v>4.2001809691555057</v>
      </c>
      <c r="Z349" s="26">
        <f>Table1[[#This Row],[Macaulay Duration in Years]]/(1+Table1[[#This Row],[IRR]])</f>
        <v>3.8814437750988762</v>
      </c>
      <c r="AA349" s="27">
        <f>VLOOKUP(Table1[[#This Row],[Yield Cluster]],'[1]Cluster Details'!$B$3:$C$16,2,0)</f>
        <v>7.8548801574189142E-2</v>
      </c>
      <c r="AB349" s="28">
        <f>PRICE(Table1[[#This Row],[Issue date]],Table1[[#This Row],[Maturity date]],Table1[[#This Row],[Current coupon %]],Table1[[#This Row],[Average Cluster Yield]],100,Table1[[#This Row],[Coupon Frequency2]])*Table1[[#This Row],[Face value]]/100</f>
        <v>1085.9770068824205</v>
      </c>
      <c r="AC349" s="27" t="str">
        <f>IF(Table1[[#This Row],[Ask Price]]&gt;Table1[[#This Row],[Calculated Bond Price]],"Rich","Cheap")</f>
        <v>Cheap</v>
      </c>
      <c r="AD349" s="28">
        <f>PRICE(Table1[[#This Row],[Issue date]],Table1[[#This Row],[Maturity date]],Table1[[#This Row],[Current coupon %]],Table1[[#This Row],[Yield (Annualised)]]+$AE$2,100,Table1[[#This Row],[Coupon Frequency2]])*Table1[[#This Row],[Face value]]/100</f>
        <v>1030.4896790994244</v>
      </c>
      <c r="AE349" s="28">
        <f>PRICE(Table1[[#This Row],[Issue date]],Table1[[#This Row],[Maturity date]],Table1[[#This Row],[Current coupon %]],Table1[[#This Row],[Yield (Annualised)]]-$AE$2,100,Table1[[#This Row],[Coupon Frequency2]])*Table1[[#This Row],[Face value]]/100</f>
        <v>1113.6754047003922</v>
      </c>
      <c r="AF349" s="28">
        <f>(Table1[[#This Row],[P (+ shock)]]+Table1[[#This Row],[P (-shock)]]-2*Table1[[#This Row],[Ask Price]])/(2*Table1[[#This Row],[Ask Price]]*($AE$2^2))</f>
        <v>10.107767506147454</v>
      </c>
    </row>
    <row r="350" spans="1:32" x14ac:dyDescent="0.25">
      <c r="A350" s="21" t="s">
        <v>746</v>
      </c>
      <c r="B350" s="3" t="s">
        <v>747</v>
      </c>
      <c r="C350" s="3" t="s">
        <v>19</v>
      </c>
      <c r="D350" s="4">
        <v>45547</v>
      </c>
      <c r="E350" s="4">
        <v>46642</v>
      </c>
      <c r="F350" s="3">
        <v>1000</v>
      </c>
      <c r="G350" s="3" t="s">
        <v>20</v>
      </c>
      <c r="H350" s="3">
        <v>1020</v>
      </c>
      <c r="I350" s="3" t="s">
        <v>20</v>
      </c>
      <c r="J350" s="3">
        <v>102</v>
      </c>
      <c r="K350" s="3">
        <v>450</v>
      </c>
      <c r="L350" s="5">
        <v>9.3200000000000005E-2</v>
      </c>
      <c r="M350" s="3" t="s">
        <v>44</v>
      </c>
      <c r="N350" s="3">
        <v>725</v>
      </c>
      <c r="O350" s="6">
        <f>Table1[[#This Row],[Current coupon %]]*Table1[[#This Row],[Face value]]/Table1[[#This Row],[Ask Price]]</f>
        <v>9.137254901960784E-2</v>
      </c>
      <c r="P350" s="3"/>
      <c r="Q350" s="3" t="s">
        <v>22</v>
      </c>
      <c r="R350">
        <f t="shared" si="5"/>
        <v>3</v>
      </c>
      <c r="S350" s="22" cm="1">
        <f t="array" ref="S350">_xlfn.IFS(Table1[[#This Row],[Coupon frequency]]="Semi-annual",2,Table1[[#This Row],[Coupon frequency]]="Quarterly",4,Table1[[#This Row],[Coupon frequency]]="Annual",1,Table1[[#This Row],[Coupon frequency]]="Every 4 months",3,Table1[[#This Row],[Coupon frequency]]="Monthly",12)</f>
        <v>4</v>
      </c>
      <c r="T350">
        <f>Table1[[#This Row],[Term to Maturity (Years)]]*Table1[[#This Row],[Coupon Frequency2]]</f>
        <v>12</v>
      </c>
      <c r="U350">
        <f>Table1[[#This Row],[Face value]]*Table1[[#This Row],[Current coupon %]]/Table1[[#This Row],[Coupon Frequency2]]</f>
        <v>23.3</v>
      </c>
      <c r="V350" s="23">
        <f>RATE(Table1[[#This Row],[Total No. of Coupons]],Table1[[#This Row],[Coupon Amount]],-Table1[[#This Row],[Ask Price]],Table1[[#This Row],[Face value]])</f>
        <v>2.1392596482711367E-2</v>
      </c>
      <c r="W350" s="24">
        <f>Table1[[#This Row],[IRR]]*Table1[[#This Row],[Coupon Frequency2]]</f>
        <v>8.5570385930845469E-2</v>
      </c>
      <c r="X350" s="25" cm="1">
        <f t="array" ref="X3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0" s="26">
        <f>DURATION(Table1[[#This Row],[Issue date]],Table1[[#This Row],[Maturity date]],Table1[[#This Row],[Current coupon %]],Table1[[#This Row],[Yield (Annualised)]],Table1[[#This Row],[Coupon Frequency2]])</f>
        <v>2.655571105735508</v>
      </c>
      <c r="Z350" s="26">
        <f>Table1[[#This Row],[Macaulay Duration in Years]]/(1+Table1[[#This Row],[IRR]])</f>
        <v>2.5999513946745725</v>
      </c>
      <c r="AA350" s="27">
        <f>VLOOKUP(Table1[[#This Row],[Yield Cluster]],'[1]Cluster Details'!$B$3:$C$16,2,0)</f>
        <v>7.8548801574189142E-2</v>
      </c>
      <c r="AB350" s="28">
        <f>PRICE(Table1[[#This Row],[Issue date]],Table1[[#This Row],[Maturity date]],Table1[[#This Row],[Current coupon %]],Table1[[#This Row],[Average Cluster Yield]],100,Table1[[#This Row],[Coupon Frequency2]])*Table1[[#This Row],[Face value]]/100</f>
        <v>1038.8218028049121</v>
      </c>
      <c r="AC350" s="27" t="str">
        <f>IF(Table1[[#This Row],[Ask Price]]&gt;Table1[[#This Row],[Calculated Bond Price]],"Rich","Cheap")</f>
        <v>Cheap</v>
      </c>
      <c r="AD350" s="28">
        <f>PRICE(Table1[[#This Row],[Issue date]],Table1[[#This Row],[Maturity date]],Table1[[#This Row],[Current coupon %]],Table1[[#This Row],[Yield (Annualised)]]+$AE$2,100,Table1[[#This Row],[Coupon Frequency2]])*Table1[[#This Row],[Face value]]/100</f>
        <v>993.88032472633711</v>
      </c>
      <c r="AE350" s="28">
        <f>PRICE(Table1[[#This Row],[Issue date]],Table1[[#This Row],[Maturity date]],Table1[[#This Row],[Current coupon %]],Table1[[#This Row],[Yield (Annualised)]]-$AE$2,100,Table1[[#This Row],[Coupon Frequency2]])*Table1[[#This Row],[Face value]]/100</f>
        <v>1046.9283732102358</v>
      </c>
      <c r="AF350" s="28">
        <f>(Table1[[#This Row],[P (+ shock)]]+Table1[[#This Row],[P (-shock)]]-2*Table1[[#This Row],[Ask Price]])/(2*Table1[[#This Row],[Ask Price]]*($AE$2^2))</f>
        <v>3.9642055714364006</v>
      </c>
    </row>
    <row r="351" spans="1:32" x14ac:dyDescent="0.25">
      <c r="A351" s="21" t="s">
        <v>748</v>
      </c>
      <c r="B351" s="3" t="s">
        <v>749</v>
      </c>
      <c r="C351" s="3" t="s">
        <v>19</v>
      </c>
      <c r="D351" s="4">
        <v>44263</v>
      </c>
      <c r="E351" s="4">
        <v>46303</v>
      </c>
      <c r="F351" s="3">
        <v>1000000</v>
      </c>
      <c r="G351" s="3" t="s">
        <v>20</v>
      </c>
      <c r="H351" s="3">
        <v>1045000</v>
      </c>
      <c r="I351" s="3" t="s">
        <v>20</v>
      </c>
      <c r="J351" s="3">
        <v>104.5</v>
      </c>
      <c r="K351" s="3">
        <v>1</v>
      </c>
      <c r="L351" s="5">
        <v>9.7500000000000003E-2</v>
      </c>
      <c r="M351" s="3" t="s">
        <v>21</v>
      </c>
      <c r="N351" s="3">
        <v>386</v>
      </c>
      <c r="O351" s="6">
        <f>Table1[[#This Row],[Current coupon %]]*Table1[[#This Row],[Face value]]/Table1[[#This Row],[Ask Price]]</f>
        <v>9.3301435406698566E-2</v>
      </c>
      <c r="P351" s="3"/>
      <c r="Q351" s="3" t="s">
        <v>22</v>
      </c>
      <c r="R351">
        <f t="shared" si="5"/>
        <v>6</v>
      </c>
      <c r="S351" s="22" cm="1">
        <f t="array" ref="S351">_xlfn.IFS(Table1[[#This Row],[Coupon frequency]]="Semi-annual",2,Table1[[#This Row],[Coupon frequency]]="Quarterly",4,Table1[[#This Row],[Coupon frequency]]="Annual",1,Table1[[#This Row],[Coupon frequency]]="Every 4 months",3,Table1[[#This Row],[Coupon frequency]]="Monthly",12)</f>
        <v>1</v>
      </c>
      <c r="T351">
        <f>Table1[[#This Row],[Term to Maturity (Years)]]*Table1[[#This Row],[Coupon Frequency2]]</f>
        <v>6</v>
      </c>
      <c r="U351">
        <f>Table1[[#This Row],[Face value]]*Table1[[#This Row],[Current coupon %]]/Table1[[#This Row],[Coupon Frequency2]]</f>
        <v>97500</v>
      </c>
      <c r="V351" s="23">
        <f>RATE(Table1[[#This Row],[Total No. of Coupons]],Table1[[#This Row],[Coupon Amount]],-Table1[[#This Row],[Ask Price]],Table1[[#This Row],[Face value]])</f>
        <v>8.7542010503522921E-2</v>
      </c>
      <c r="W351" s="24">
        <f>Table1[[#This Row],[IRR]]*Table1[[#This Row],[Coupon Frequency2]]</f>
        <v>8.7542010503522921E-2</v>
      </c>
      <c r="X351" s="25" cm="1">
        <f t="array" ref="X3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1" s="26">
        <f>DURATION(Table1[[#This Row],[Issue date]],Table1[[#This Row],[Maturity date]],Table1[[#This Row],[Current coupon %]],Table1[[#This Row],[Yield (Annualised)]],Table1[[#This Row],[Coupon Frequency2]])</f>
        <v>4.4265089328152696</v>
      </c>
      <c r="Z351" s="26">
        <f>Table1[[#This Row],[Macaulay Duration in Years]]/(1+Table1[[#This Row],[IRR]])</f>
        <v>4.0701958085884264</v>
      </c>
      <c r="AA351" s="27">
        <f>VLOOKUP(Table1[[#This Row],[Yield Cluster]],'[1]Cluster Details'!$B$3:$C$16,2,0)</f>
        <v>7.8548801574189142E-2</v>
      </c>
      <c r="AB351" s="28">
        <f>PRICE(Table1[[#This Row],[Issue date]],Table1[[#This Row],[Maturity date]],Table1[[#This Row],[Current coupon %]],Table1[[#This Row],[Average Cluster Yield]],100,Table1[[#This Row],[Coupon Frequency2]])*Table1[[#This Row],[Face value]]/100</f>
        <v>1082196.2056956762</v>
      </c>
      <c r="AC351" s="27" t="str">
        <f>IF(Table1[[#This Row],[Ask Price]]&gt;Table1[[#This Row],[Calculated Bond Price]],"Rich","Cheap")</f>
        <v>Cheap</v>
      </c>
      <c r="AD351" s="28">
        <f>PRICE(Table1[[#This Row],[Issue date]],Table1[[#This Row],[Maturity date]],Table1[[#This Row],[Current coupon %]],Table1[[#This Row],[Yield (Annualised)]]+$AE$2,100,Table1[[#This Row],[Coupon Frequency2]])*Table1[[#This Row],[Face value]]/100</f>
        <v>998725.67511738348</v>
      </c>
      <c r="AE351" s="28">
        <f>PRICE(Table1[[#This Row],[Issue date]],Table1[[#This Row],[Maturity date]],Table1[[#This Row],[Current coupon %]],Table1[[#This Row],[Yield (Annualised)]]-$AE$2,100,Table1[[#This Row],[Coupon Frequency2]])*Table1[[#This Row],[Face value]]/100</f>
        <v>1086875.3959157192</v>
      </c>
      <c r="AF351" s="28">
        <f>(Table1[[#This Row],[P (+ shock)]]+Table1[[#This Row],[P (-shock)]]-2*Table1[[#This Row],[Ask Price]])/(2*Table1[[#This Row],[Ask Price]]*($AE$2^2))</f>
        <v>-21.047507018647401</v>
      </c>
    </row>
    <row r="352" spans="1:32" x14ac:dyDescent="0.25">
      <c r="A352" s="21" t="s">
        <v>750</v>
      </c>
      <c r="B352" s="3" t="s">
        <v>751</v>
      </c>
      <c r="C352" s="3" t="s">
        <v>19</v>
      </c>
      <c r="D352" s="4">
        <v>43419</v>
      </c>
      <c r="E352" s="4">
        <v>47072</v>
      </c>
      <c r="F352" s="3">
        <v>1000000</v>
      </c>
      <c r="G352" s="3" t="s">
        <v>20</v>
      </c>
      <c r="H352" s="3">
        <v>1039795</v>
      </c>
      <c r="I352" s="3" t="s">
        <v>20</v>
      </c>
      <c r="J352" s="3">
        <v>103.9795</v>
      </c>
      <c r="K352" s="3">
        <v>3</v>
      </c>
      <c r="L352" s="5">
        <v>9.6999999999999989E-2</v>
      </c>
      <c r="M352" s="3" t="s">
        <v>21</v>
      </c>
      <c r="N352" s="3">
        <v>1155</v>
      </c>
      <c r="O352" s="6">
        <f>Table1[[#This Row],[Current coupon %]]*Table1[[#This Row],[Face value]]/Table1[[#This Row],[Ask Price]]</f>
        <v>9.3287619194168073E-2</v>
      </c>
      <c r="P352" s="3"/>
      <c r="Q352" s="3" t="s">
        <v>22</v>
      </c>
      <c r="R352">
        <f t="shared" si="5"/>
        <v>10</v>
      </c>
      <c r="S352" s="22" cm="1">
        <f t="array" ref="S352">_xlfn.IFS(Table1[[#This Row],[Coupon frequency]]="Semi-annual",2,Table1[[#This Row],[Coupon frequency]]="Quarterly",4,Table1[[#This Row],[Coupon frequency]]="Annual",1,Table1[[#This Row],[Coupon frequency]]="Every 4 months",3,Table1[[#This Row],[Coupon frequency]]="Monthly",12)</f>
        <v>1</v>
      </c>
      <c r="T352">
        <f>Table1[[#This Row],[Term to Maturity (Years)]]*Table1[[#This Row],[Coupon Frequency2]]</f>
        <v>10</v>
      </c>
      <c r="U352">
        <f>Table1[[#This Row],[Face value]]*Table1[[#This Row],[Current coupon %]]/Table1[[#This Row],[Coupon Frequency2]]</f>
        <v>96999.999999999985</v>
      </c>
      <c r="V352" s="23">
        <f>RATE(Table1[[#This Row],[Total No. of Coupons]],Table1[[#This Row],[Coupon Amount]],-Table1[[#This Row],[Ask Price]],Table1[[#This Row],[Face value]])</f>
        <v>9.0777891662285073E-2</v>
      </c>
      <c r="W352" s="24">
        <f>Table1[[#This Row],[IRR]]*Table1[[#This Row],[Coupon Frequency2]]</f>
        <v>9.0777891662285073E-2</v>
      </c>
      <c r="X352" s="25" cm="1">
        <f t="array" ref="X3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2" s="26">
        <f>DURATION(Table1[[#This Row],[Issue date]],Table1[[#This Row],[Maturity date]],Table1[[#This Row],[Current coupon %]],Table1[[#This Row],[Yield (Annualised)]],Table1[[#This Row],[Coupon Frequency2]])</f>
        <v>6.892739041899703</v>
      </c>
      <c r="Z352" s="26">
        <f>Table1[[#This Row],[Macaulay Duration in Years]]/(1+Table1[[#This Row],[IRR]])</f>
        <v>6.3191040949643291</v>
      </c>
      <c r="AA352" s="27">
        <f>VLOOKUP(Table1[[#This Row],[Yield Cluster]],'[1]Cluster Details'!$B$3:$C$16,2,0)</f>
        <v>7.8548801574189142E-2</v>
      </c>
      <c r="AB352" s="28">
        <f>PRICE(Table1[[#This Row],[Issue date]],Table1[[#This Row],[Maturity date]],Table1[[#This Row],[Current coupon %]],Table1[[#This Row],[Average Cluster Yield]],100,Table1[[#This Row],[Coupon Frequency2]])*Table1[[#This Row],[Face value]]/100</f>
        <v>1124623.5564479977</v>
      </c>
      <c r="AC352" s="27" t="str">
        <f>IF(Table1[[#This Row],[Ask Price]]&gt;Table1[[#This Row],[Calculated Bond Price]],"Rich","Cheap")</f>
        <v>Cheap</v>
      </c>
      <c r="AD352" s="28">
        <f>PRICE(Table1[[#This Row],[Issue date]],Table1[[#This Row],[Maturity date]],Table1[[#This Row],[Current coupon %]],Table1[[#This Row],[Yield (Annualised)]]+$AE$2,100,Table1[[#This Row],[Coupon Frequency2]])*Table1[[#This Row],[Face value]]/100</f>
        <v>976863.86193489924</v>
      </c>
      <c r="AE352" s="28">
        <f>PRICE(Table1[[#This Row],[Issue date]],Table1[[#This Row],[Maturity date]],Table1[[#This Row],[Current coupon %]],Table1[[#This Row],[Yield (Annualised)]]-$AE$2,100,Table1[[#This Row],[Coupon Frequency2]])*Table1[[#This Row],[Face value]]/100</f>
        <v>1108470.7751230327</v>
      </c>
      <c r="AF352" s="28">
        <f>(Table1[[#This Row],[P (+ shock)]]+Table1[[#This Row],[P (-shock)]]-2*Table1[[#This Row],[Ask Price]])/(2*Table1[[#This Row],[Ask Price]]*($AE$2^2))</f>
        <v>27.623892488096661</v>
      </c>
    </row>
    <row r="353" spans="1:32" x14ac:dyDescent="0.25">
      <c r="A353" s="21" t="s">
        <v>752</v>
      </c>
      <c r="B353" s="3" t="s">
        <v>753</v>
      </c>
      <c r="C353" s="3" t="s">
        <v>19</v>
      </c>
      <c r="D353" s="4">
        <v>42639</v>
      </c>
      <c r="E353" s="4">
        <v>46291</v>
      </c>
      <c r="F353" s="3">
        <v>1000</v>
      </c>
      <c r="G353" s="3" t="s">
        <v>20</v>
      </c>
      <c r="H353" s="3">
        <v>982</v>
      </c>
      <c r="I353" s="3" t="s">
        <v>20</v>
      </c>
      <c r="J353" s="3">
        <v>98.2</v>
      </c>
      <c r="K353" s="3">
        <v>310</v>
      </c>
      <c r="L353" s="5">
        <v>9.1499999999999998E-2</v>
      </c>
      <c r="M353" s="3" t="s">
        <v>21</v>
      </c>
      <c r="N353" s="3">
        <v>374</v>
      </c>
      <c r="O353" s="6">
        <f>Table1[[#This Row],[Current coupon %]]*Table1[[#This Row],[Face value]]/Table1[[#This Row],[Ask Price]]</f>
        <v>9.317718940936863E-2</v>
      </c>
      <c r="P353" s="3" t="s">
        <v>25</v>
      </c>
      <c r="Q353" s="3" t="s">
        <v>22</v>
      </c>
      <c r="R353">
        <f t="shared" si="5"/>
        <v>10</v>
      </c>
      <c r="S353" s="22" cm="1">
        <f t="array" ref="S353">_xlfn.IFS(Table1[[#This Row],[Coupon frequency]]="Semi-annual",2,Table1[[#This Row],[Coupon frequency]]="Quarterly",4,Table1[[#This Row],[Coupon frequency]]="Annual",1,Table1[[#This Row],[Coupon frequency]]="Every 4 months",3,Table1[[#This Row],[Coupon frequency]]="Monthly",12)</f>
        <v>1</v>
      </c>
      <c r="T353">
        <f>Table1[[#This Row],[Term to Maturity (Years)]]*Table1[[#This Row],[Coupon Frequency2]]</f>
        <v>10</v>
      </c>
      <c r="U353">
        <f>Table1[[#This Row],[Face value]]*Table1[[#This Row],[Current coupon %]]/Table1[[#This Row],[Coupon Frequency2]]</f>
        <v>91.5</v>
      </c>
      <c r="V353" s="23">
        <f>RATE(Table1[[#This Row],[Total No. of Coupons]],Table1[[#This Row],[Coupon Amount]],-Table1[[#This Row],[Ask Price]],Table1[[#This Row],[Face value]])</f>
        <v>9.4358802575161257E-2</v>
      </c>
      <c r="W353" s="24">
        <f>Table1[[#This Row],[IRR]]*Table1[[#This Row],[Coupon Frequency2]]</f>
        <v>9.4358802575161257E-2</v>
      </c>
      <c r="X353" s="25" cm="1">
        <f t="array" ref="X3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3" s="26">
        <f>DURATION(Table1[[#This Row],[Issue date]],Table1[[#This Row],[Maturity date]],Table1[[#This Row],[Current coupon %]],Table1[[#This Row],[Yield (Annualised)]],Table1[[#This Row],[Coupon Frequency2]])</f>
        <v>6.9293971897835505</v>
      </c>
      <c r="Z353" s="26">
        <f>Table1[[#This Row],[Macaulay Duration in Years]]/(1+Table1[[#This Row],[IRR]])</f>
        <v>6.3319243866616919</v>
      </c>
      <c r="AA353" s="27">
        <f>VLOOKUP(Table1[[#This Row],[Yield Cluster]],'[1]Cluster Details'!$B$3:$C$16,2,0)</f>
        <v>7.8548801574189142E-2</v>
      </c>
      <c r="AB353" s="28">
        <f>PRICE(Table1[[#This Row],[Issue date]],Table1[[#This Row],[Maturity date]],Table1[[#This Row],[Current coupon %]],Table1[[#This Row],[Average Cluster Yield]],100,Table1[[#This Row],[Coupon Frequency2]])*Table1[[#This Row],[Face value]]/100</f>
        <v>1087.4753157404916</v>
      </c>
      <c r="AC353" s="27" t="str">
        <f>IF(Table1[[#This Row],[Ask Price]]&gt;Table1[[#This Row],[Calculated Bond Price]],"Rich","Cheap")</f>
        <v>Cheap</v>
      </c>
      <c r="AD353" s="28">
        <f>PRICE(Table1[[#This Row],[Issue date]],Table1[[#This Row],[Maturity date]],Table1[[#This Row],[Current coupon %]],Table1[[#This Row],[Yield (Annualised)]]+$AE$2,100,Table1[[#This Row],[Coupon Frequency2]])*Table1[[#This Row],[Face value]]/100</f>
        <v>922.44629877869443</v>
      </c>
      <c r="AE353" s="28">
        <f>PRICE(Table1[[#This Row],[Issue date]],Table1[[#This Row],[Maturity date]],Table1[[#This Row],[Current coupon %]],Table1[[#This Row],[Yield (Annualised)]]-$AE$2,100,Table1[[#This Row],[Coupon Frequency2]])*Table1[[#This Row],[Face value]]/100</f>
        <v>1046.9900436519401</v>
      </c>
      <c r="AF353" s="28">
        <f>(Table1[[#This Row],[P (+ shock)]]+Table1[[#This Row],[P (-shock)]]-2*Table1[[#This Row],[Ask Price]])/(2*Table1[[#This Row],[Ask Price]]*($AE$2^2))</f>
        <v>27.679951276143417</v>
      </c>
    </row>
    <row r="354" spans="1:32" x14ac:dyDescent="0.25">
      <c r="A354" s="21" t="s">
        <v>754</v>
      </c>
      <c r="B354" s="3" t="s">
        <v>755</v>
      </c>
      <c r="C354" s="3" t="s">
        <v>19</v>
      </c>
      <c r="D354" s="4">
        <v>44204</v>
      </c>
      <c r="E354" s="4">
        <v>46030</v>
      </c>
      <c r="F354" s="3">
        <v>1000</v>
      </c>
      <c r="G354" s="3" t="s">
        <v>20</v>
      </c>
      <c r="H354" s="3">
        <v>1052</v>
      </c>
      <c r="I354" s="3" t="s">
        <v>20</v>
      </c>
      <c r="J354" s="3">
        <v>105.2</v>
      </c>
      <c r="K354" s="3">
        <v>39</v>
      </c>
      <c r="L354" s="5">
        <v>9.8000000000000004E-2</v>
      </c>
      <c r="M354" s="3" t="s">
        <v>21</v>
      </c>
      <c r="N354" s="3">
        <v>113</v>
      </c>
      <c r="O354" s="6">
        <f>Table1[[#This Row],[Current coupon %]]*Table1[[#This Row],[Face value]]/Table1[[#This Row],[Ask Price]]</f>
        <v>9.3155893536121678E-2</v>
      </c>
      <c r="P354" s="3"/>
      <c r="Q354" s="3" t="s">
        <v>22</v>
      </c>
      <c r="R354">
        <f t="shared" si="5"/>
        <v>5</v>
      </c>
      <c r="S354" s="22" cm="1">
        <f t="array" ref="S354">_xlfn.IFS(Table1[[#This Row],[Coupon frequency]]="Semi-annual",2,Table1[[#This Row],[Coupon frequency]]="Quarterly",4,Table1[[#This Row],[Coupon frequency]]="Annual",1,Table1[[#This Row],[Coupon frequency]]="Every 4 months",3,Table1[[#This Row],[Coupon frequency]]="Monthly",12)</f>
        <v>1</v>
      </c>
      <c r="T354">
        <f>Table1[[#This Row],[Term to Maturity (Years)]]*Table1[[#This Row],[Coupon Frequency2]]</f>
        <v>5</v>
      </c>
      <c r="U354">
        <f>Table1[[#This Row],[Face value]]*Table1[[#This Row],[Current coupon %]]/Table1[[#This Row],[Coupon Frequency2]]</f>
        <v>98</v>
      </c>
      <c r="V354" s="23">
        <f>RATE(Table1[[#This Row],[Total No. of Coupons]],Table1[[#This Row],[Coupon Amount]],-Table1[[#This Row],[Ask Price]],Table1[[#This Row],[Face value]])</f>
        <v>8.4810712102487432E-2</v>
      </c>
      <c r="W354" s="24">
        <f>Table1[[#This Row],[IRR]]*Table1[[#This Row],[Coupon Frequency2]]</f>
        <v>8.4810712102487432E-2</v>
      </c>
      <c r="X354" s="25" cm="1">
        <f t="array" ref="X3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4" s="26">
        <f>DURATION(Table1[[#This Row],[Issue date]],Table1[[#This Row],[Maturity date]],Table1[[#This Row],[Current coupon %]],Table1[[#This Row],[Yield (Annualised)]],Table1[[#This Row],[Coupon Frequency2]])</f>
        <v>4.205822856000256</v>
      </c>
      <c r="Z354" s="26">
        <f>Table1[[#This Row],[Macaulay Duration in Years]]/(1+Table1[[#This Row],[IRR]])</f>
        <v>3.8770108085021482</v>
      </c>
      <c r="AA354" s="27">
        <f>VLOOKUP(Table1[[#This Row],[Yield Cluster]],'[1]Cluster Details'!$B$3:$C$16,2,0)</f>
        <v>7.8548801574189142E-2</v>
      </c>
      <c r="AB354" s="28">
        <f>PRICE(Table1[[#This Row],[Issue date]],Table1[[#This Row],[Maturity date]],Table1[[#This Row],[Current coupon %]],Table1[[#This Row],[Average Cluster Yield]],100,Table1[[#This Row],[Coupon Frequency2]])*Table1[[#This Row],[Face value]]/100</f>
        <v>1077.9609506066117</v>
      </c>
      <c r="AC354" s="27" t="str">
        <f>IF(Table1[[#This Row],[Ask Price]]&gt;Table1[[#This Row],[Calculated Bond Price]],"Rich","Cheap")</f>
        <v>Cheap</v>
      </c>
      <c r="AD354" s="28">
        <f>PRICE(Table1[[#This Row],[Issue date]],Table1[[#This Row],[Maturity date]],Table1[[#This Row],[Current coupon %]],Table1[[#This Row],[Yield (Annualised)]]+$AE$2,100,Table1[[#This Row],[Coupon Frequency2]])*Table1[[#This Row],[Face value]]/100</f>
        <v>1012.2519069299117</v>
      </c>
      <c r="AE354" s="28">
        <f>PRICE(Table1[[#This Row],[Issue date]],Table1[[#This Row],[Maturity date]],Table1[[#This Row],[Current coupon %]],Table1[[#This Row],[Yield (Annualised)]]-$AE$2,100,Table1[[#This Row],[Coupon Frequency2]])*Table1[[#This Row],[Face value]]/100</f>
        <v>1093.8683852001625</v>
      </c>
      <c r="AF354" s="28">
        <f>(Table1[[#This Row],[P (+ shock)]]+Table1[[#This Row],[P (-shock)]]-2*Table1[[#This Row],[Ask Price]])/(2*Table1[[#This Row],[Ask Price]]*($AE$2^2))</f>
        <v>10.077434078299317</v>
      </c>
    </row>
    <row r="355" spans="1:32" x14ac:dyDescent="0.25">
      <c r="A355" s="21" t="s">
        <v>756</v>
      </c>
      <c r="B355" s="3" t="s">
        <v>757</v>
      </c>
      <c r="C355" s="3" t="s">
        <v>19</v>
      </c>
      <c r="D355" s="4">
        <v>45663</v>
      </c>
      <c r="E355" s="4">
        <v>46393</v>
      </c>
      <c r="F355" s="3">
        <v>1000</v>
      </c>
      <c r="G355" s="3" t="s">
        <v>20</v>
      </c>
      <c r="H355" s="3">
        <v>1020.2</v>
      </c>
      <c r="I355" s="3" t="s">
        <v>20</v>
      </c>
      <c r="J355" s="3">
        <v>102.02</v>
      </c>
      <c r="K355" s="3">
        <v>10</v>
      </c>
      <c r="L355" s="5">
        <v>9.5000000000000001E-2</v>
      </c>
      <c r="M355" s="3" t="s">
        <v>21</v>
      </c>
      <c r="N355" s="3">
        <v>476</v>
      </c>
      <c r="O355" s="6">
        <f>Table1[[#This Row],[Current coupon %]]*Table1[[#This Row],[Face value]]/Table1[[#This Row],[Ask Price]]</f>
        <v>9.3118996275240146E-2</v>
      </c>
      <c r="P355" s="3"/>
      <c r="Q355" s="3" t="s">
        <v>22</v>
      </c>
      <c r="R355">
        <f t="shared" si="5"/>
        <v>2</v>
      </c>
      <c r="S355" s="22" cm="1">
        <f t="array" ref="S355">_xlfn.IFS(Table1[[#This Row],[Coupon frequency]]="Semi-annual",2,Table1[[#This Row],[Coupon frequency]]="Quarterly",4,Table1[[#This Row],[Coupon frequency]]="Annual",1,Table1[[#This Row],[Coupon frequency]]="Every 4 months",3,Table1[[#This Row],[Coupon frequency]]="Monthly",12)</f>
        <v>1</v>
      </c>
      <c r="T355">
        <f>Table1[[#This Row],[Term to Maturity (Years)]]*Table1[[#This Row],[Coupon Frequency2]]</f>
        <v>2</v>
      </c>
      <c r="U355">
        <f>Table1[[#This Row],[Face value]]*Table1[[#This Row],[Current coupon %]]/Table1[[#This Row],[Coupon Frequency2]]</f>
        <v>95</v>
      </c>
      <c r="V355" s="23">
        <f>RATE(Table1[[#This Row],[Total No. of Coupons]],Table1[[#This Row],[Coupon Amount]],-Table1[[#This Row],[Ask Price]],Table1[[#This Row],[Face value]])</f>
        <v>8.3616268008039868E-2</v>
      </c>
      <c r="W355" s="24">
        <f>Table1[[#This Row],[IRR]]*Table1[[#This Row],[Coupon Frequency2]]</f>
        <v>8.3616268008039868E-2</v>
      </c>
      <c r="X355" s="25" cm="1">
        <f t="array" ref="X3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5" s="26">
        <f>DURATION(Table1[[#This Row],[Issue date]],Table1[[#This Row],[Maturity date]],Table1[[#This Row],[Current coupon %]],Table1[[#This Row],[Yield (Annualised)]],Table1[[#This Row],[Coupon Frequency2]])</f>
        <v>1.9140664467446431</v>
      </c>
      <c r="Z355" s="26">
        <f>Table1[[#This Row],[Macaulay Duration in Years]]/(1+Table1[[#This Row],[IRR]])</f>
        <v>1.766369242742341</v>
      </c>
      <c r="AA355" s="27">
        <f>VLOOKUP(Table1[[#This Row],[Yield Cluster]],'[1]Cluster Details'!$B$3:$C$16,2,0)</f>
        <v>7.8548801574189142E-2</v>
      </c>
      <c r="AB355" s="28">
        <f>PRICE(Table1[[#This Row],[Issue date]],Table1[[#This Row],[Maturity date]],Table1[[#This Row],[Current coupon %]],Table1[[#This Row],[Average Cluster Yield]],100,Table1[[#This Row],[Coupon Frequency2]])*Table1[[#This Row],[Face value]]/100</f>
        <v>1029.3953181547861</v>
      </c>
      <c r="AC355" s="27" t="str">
        <f>IF(Table1[[#This Row],[Ask Price]]&gt;Table1[[#This Row],[Calculated Bond Price]],"Rich","Cheap")</f>
        <v>Cheap</v>
      </c>
      <c r="AD355" s="28">
        <f>PRICE(Table1[[#This Row],[Issue date]],Table1[[#This Row],[Maturity date]],Table1[[#This Row],[Current coupon %]],Table1[[#This Row],[Yield (Annualised)]]+$AE$2,100,Table1[[#This Row],[Coupon Frequency2]])*Table1[[#This Row],[Face value]]/100</f>
        <v>1002.4222509915702</v>
      </c>
      <c r="AE355" s="28">
        <f>PRICE(Table1[[#This Row],[Issue date]],Table1[[#This Row],[Maturity date]],Table1[[#This Row],[Current coupon %]],Table1[[#This Row],[Yield (Annualised)]]-$AE$2,100,Table1[[#This Row],[Coupon Frequency2]])*Table1[[#This Row],[Face value]]/100</f>
        <v>1038.4692506715257</v>
      </c>
      <c r="AF355" s="28">
        <f>(Table1[[#This Row],[P (+ shock)]]+Table1[[#This Row],[P (-shock)]]-2*Table1[[#This Row],[Ask Price]])/(2*Table1[[#This Row],[Ask Price]]*($AE$2^2))</f>
        <v>2.4088495544782025</v>
      </c>
    </row>
    <row r="356" spans="1:32" x14ac:dyDescent="0.25">
      <c r="A356" s="21" t="s">
        <v>758</v>
      </c>
      <c r="B356" s="3" t="s">
        <v>759</v>
      </c>
      <c r="C356" s="3" t="s">
        <v>19</v>
      </c>
      <c r="D356" s="4">
        <v>45322</v>
      </c>
      <c r="E356" s="4">
        <v>46418</v>
      </c>
      <c r="F356" s="3">
        <v>1000</v>
      </c>
      <c r="G356" s="3" t="s">
        <v>20</v>
      </c>
      <c r="H356" s="3">
        <v>1020.2</v>
      </c>
      <c r="I356" s="3" t="s">
        <v>20</v>
      </c>
      <c r="J356" s="3">
        <v>102.02</v>
      </c>
      <c r="K356" s="3">
        <v>1</v>
      </c>
      <c r="L356" s="5">
        <v>9.5000000000000001E-2</v>
      </c>
      <c r="M356" s="3" t="s">
        <v>21</v>
      </c>
      <c r="N356" s="3">
        <v>501</v>
      </c>
      <c r="O356" s="6">
        <f>Table1[[#This Row],[Current coupon %]]*Table1[[#This Row],[Face value]]/Table1[[#This Row],[Ask Price]]</f>
        <v>9.3118996275240146E-2</v>
      </c>
      <c r="P356" s="3"/>
      <c r="Q356" s="3" t="s">
        <v>22</v>
      </c>
      <c r="R356">
        <f t="shared" si="5"/>
        <v>3</v>
      </c>
      <c r="S356" s="22" cm="1">
        <f t="array" ref="S356">_xlfn.IFS(Table1[[#This Row],[Coupon frequency]]="Semi-annual",2,Table1[[#This Row],[Coupon frequency]]="Quarterly",4,Table1[[#This Row],[Coupon frequency]]="Annual",1,Table1[[#This Row],[Coupon frequency]]="Every 4 months",3,Table1[[#This Row],[Coupon frequency]]="Monthly",12)</f>
        <v>1</v>
      </c>
      <c r="T356">
        <f>Table1[[#This Row],[Term to Maturity (Years)]]*Table1[[#This Row],[Coupon Frequency2]]</f>
        <v>3</v>
      </c>
      <c r="U356">
        <f>Table1[[#This Row],[Face value]]*Table1[[#This Row],[Current coupon %]]/Table1[[#This Row],[Coupon Frequency2]]</f>
        <v>95</v>
      </c>
      <c r="V356" s="23">
        <f>RATE(Table1[[#This Row],[Total No. of Coupons]],Table1[[#This Row],[Coupon Amount]],-Table1[[#This Row],[Ask Price]],Table1[[#This Row],[Face value]])</f>
        <v>8.706165010970629E-2</v>
      </c>
      <c r="W356" s="24">
        <f>Table1[[#This Row],[IRR]]*Table1[[#This Row],[Coupon Frequency2]]</f>
        <v>8.706165010970629E-2</v>
      </c>
      <c r="X356" s="25" cm="1">
        <f t="array" ref="X3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6" s="26">
        <f>DURATION(Table1[[#This Row],[Issue date]],Table1[[#This Row],[Maturity date]],Table1[[#This Row],[Current coupon %]],Table1[[#This Row],[Yield (Annualised)]],Table1[[#This Row],[Coupon Frequency2]])</f>
        <v>2.7498769420221123</v>
      </c>
      <c r="Z356" s="26">
        <f>Table1[[#This Row],[Macaulay Duration in Years]]/(1+Table1[[#This Row],[IRR]])</f>
        <v>2.5296421244780318</v>
      </c>
      <c r="AA356" s="27">
        <f>VLOOKUP(Table1[[#This Row],[Yield Cluster]],'[1]Cluster Details'!$B$3:$C$16,2,0)</f>
        <v>7.8548801574189142E-2</v>
      </c>
      <c r="AB356" s="28">
        <f>PRICE(Table1[[#This Row],[Issue date]],Table1[[#This Row],[Maturity date]],Table1[[#This Row],[Current coupon %]],Table1[[#This Row],[Average Cluster Yield]],100,Table1[[#This Row],[Coupon Frequency2]])*Table1[[#This Row],[Face value]]/100</f>
        <v>1042.507595867412</v>
      </c>
      <c r="AC356" s="27" t="str">
        <f>IF(Table1[[#This Row],[Ask Price]]&gt;Table1[[#This Row],[Calculated Bond Price]],"Rich","Cheap")</f>
        <v>Cheap</v>
      </c>
      <c r="AD356" s="28">
        <f>PRICE(Table1[[#This Row],[Issue date]],Table1[[#This Row],[Maturity date]],Table1[[#This Row],[Current coupon %]],Table1[[#This Row],[Yield (Annualised)]]+$AE$2,100,Table1[[#This Row],[Coupon Frequency2]])*Table1[[#This Row],[Face value]]/100</f>
        <v>994.84634272735786</v>
      </c>
      <c r="AE356" s="28">
        <f>PRICE(Table1[[#This Row],[Issue date]],Table1[[#This Row],[Maturity date]],Table1[[#This Row],[Current coupon %]],Table1[[#This Row],[Yield (Annualised)]]-$AE$2,100,Table1[[#This Row],[Coupon Frequency2]])*Table1[[#This Row],[Face value]]/100</f>
        <v>1046.4750712620221</v>
      </c>
      <c r="AF356" s="28">
        <f>(Table1[[#This Row],[P (+ shock)]]+Table1[[#This Row],[P (-shock)]]-2*Table1[[#This Row],[Ask Price]])/(2*Table1[[#This Row],[Ask Price]]*($AE$2^2))</f>
        <v>4.515849781316132</v>
      </c>
    </row>
    <row r="357" spans="1:32" x14ac:dyDescent="0.25">
      <c r="A357" s="21" t="s">
        <v>760</v>
      </c>
      <c r="B357" s="3" t="s">
        <v>761</v>
      </c>
      <c r="C357" s="3" t="s">
        <v>19</v>
      </c>
      <c r="D357" s="4">
        <v>45279</v>
      </c>
      <c r="E357" s="4">
        <v>46374</v>
      </c>
      <c r="F357" s="3">
        <v>100000</v>
      </c>
      <c r="G357" s="3" t="s">
        <v>20</v>
      </c>
      <c r="H357" s="3">
        <v>106494.21</v>
      </c>
      <c r="I357" s="3" t="s">
        <v>20</v>
      </c>
      <c r="J357" s="3">
        <v>106.49421</v>
      </c>
      <c r="K357" s="3">
        <v>1</v>
      </c>
      <c r="L357" s="5">
        <v>9.9000000000000005E-2</v>
      </c>
      <c r="M357" s="3" t="s">
        <v>21</v>
      </c>
      <c r="N357" s="3">
        <v>457</v>
      </c>
      <c r="O357" s="6">
        <f>Table1[[#This Row],[Current coupon %]]*Table1[[#This Row],[Face value]]/Table1[[#This Row],[Ask Price]]</f>
        <v>9.2962800512816607E-2</v>
      </c>
      <c r="P357" s="3"/>
      <c r="Q357" s="3" t="s">
        <v>22</v>
      </c>
      <c r="R357">
        <f t="shared" si="5"/>
        <v>3</v>
      </c>
      <c r="S357" s="22" cm="1">
        <f t="array" ref="S357">_xlfn.IFS(Table1[[#This Row],[Coupon frequency]]="Semi-annual",2,Table1[[#This Row],[Coupon frequency]]="Quarterly",4,Table1[[#This Row],[Coupon frequency]]="Annual",1,Table1[[#This Row],[Coupon frequency]]="Every 4 months",3,Table1[[#This Row],[Coupon frequency]]="Monthly",12)</f>
        <v>1</v>
      </c>
      <c r="T357">
        <f>Table1[[#This Row],[Term to Maturity (Years)]]*Table1[[#This Row],[Coupon Frequency2]]</f>
        <v>3</v>
      </c>
      <c r="U357">
        <f>Table1[[#This Row],[Face value]]*Table1[[#This Row],[Current coupon %]]/Table1[[#This Row],[Coupon Frequency2]]</f>
        <v>9900</v>
      </c>
      <c r="V357" s="23">
        <f>RATE(Table1[[#This Row],[Total No. of Coupons]],Table1[[#This Row],[Coupon Amount]],-Table1[[#This Row],[Ask Price]],Table1[[#This Row],[Face value]])</f>
        <v>7.4069498309957113E-2</v>
      </c>
      <c r="W357" s="24">
        <f>Table1[[#This Row],[IRR]]*Table1[[#This Row],[Coupon Frequency2]]</f>
        <v>7.4069498309957113E-2</v>
      </c>
      <c r="X357" s="25" cm="1">
        <f t="array" ref="X3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7" s="26">
        <f>DURATION(Table1[[#This Row],[Issue date]],Table1[[#This Row],[Maturity date]],Table1[[#This Row],[Current coupon %]],Table1[[#This Row],[Yield (Annualised)]],Table1[[#This Row],[Coupon Frequency2]])</f>
        <v>2.7435351534861367</v>
      </c>
      <c r="Z357" s="26">
        <f>Table1[[#This Row],[Macaulay Duration in Years]]/(1+Table1[[#This Row],[IRR]])</f>
        <v>2.5543367145264582</v>
      </c>
      <c r="AA357" s="27">
        <f>VLOOKUP(Table1[[#This Row],[Yield Cluster]],'[1]Cluster Details'!$B$3:$C$16,2,0)</f>
        <v>7.8548801574189142E-2</v>
      </c>
      <c r="AB357" s="28">
        <f>PRICE(Table1[[#This Row],[Issue date]],Table1[[#This Row],[Maturity date]],Table1[[#This Row],[Current coupon %]],Table1[[#This Row],[Average Cluster Yield]],100,Table1[[#This Row],[Coupon Frequency2]])*Table1[[#This Row],[Face value]]/100</f>
        <v>105278.92047580291</v>
      </c>
      <c r="AC357" s="27" t="str">
        <f>IF(Table1[[#This Row],[Ask Price]]&gt;Table1[[#This Row],[Calculated Bond Price]],"Rich","Cheap")</f>
        <v>Rich</v>
      </c>
      <c r="AD357" s="28">
        <f>PRICE(Table1[[#This Row],[Issue date]],Table1[[#This Row],[Maturity date]],Table1[[#This Row],[Current coupon %]],Table1[[#This Row],[Yield (Annualised)]]+$AE$2,100,Table1[[#This Row],[Coupon Frequency2]])*Table1[[#This Row],[Face value]]/100</f>
        <v>103815.43729896596</v>
      </c>
      <c r="AE357" s="28">
        <f>PRICE(Table1[[#This Row],[Issue date]],Table1[[#This Row],[Maturity date]],Table1[[#This Row],[Current coupon %]],Table1[[#This Row],[Yield (Annualised)]]-$AE$2,100,Table1[[#This Row],[Coupon Frequency2]])*Table1[[#This Row],[Face value]]/100</f>
        <v>109258.45779723254</v>
      </c>
      <c r="AF357" s="28">
        <f>(Table1[[#This Row],[P (+ shock)]]+Table1[[#This Row],[P (-shock)]]-2*Table1[[#This Row],[Ask Price]])/(2*Table1[[#This Row],[Ask Price]]*($AE$2^2))</f>
        <v>4.013133493288894</v>
      </c>
    </row>
    <row r="358" spans="1:32" x14ac:dyDescent="0.25">
      <c r="A358" s="21" t="s">
        <v>762</v>
      </c>
      <c r="B358" s="3" t="s">
        <v>763</v>
      </c>
      <c r="C358" s="3" t="s">
        <v>19</v>
      </c>
      <c r="D358" s="4">
        <v>44726</v>
      </c>
      <c r="E358" s="4">
        <v>47634</v>
      </c>
      <c r="F358" s="3">
        <v>1000000</v>
      </c>
      <c r="G358" s="3" t="s">
        <v>20</v>
      </c>
      <c r="H358" s="3">
        <v>1035000</v>
      </c>
      <c r="I358" s="3" t="s">
        <v>20</v>
      </c>
      <c r="J358" s="3">
        <v>103.49999999999901</v>
      </c>
      <c r="K358" s="3">
        <v>1</v>
      </c>
      <c r="L358" s="5">
        <v>9.6199999999999994E-2</v>
      </c>
      <c r="M358" s="3" t="s">
        <v>44</v>
      </c>
      <c r="N358" s="3">
        <v>1717</v>
      </c>
      <c r="O358" s="6">
        <f>Table1[[#This Row],[Current coupon %]]*Table1[[#This Row],[Face value]]/Table1[[#This Row],[Ask Price]]</f>
        <v>9.294685990338164E-2</v>
      </c>
      <c r="P358" s="3"/>
      <c r="Q358" s="3" t="s">
        <v>22</v>
      </c>
      <c r="R358">
        <f t="shared" si="5"/>
        <v>8</v>
      </c>
      <c r="S358" s="22" cm="1">
        <f t="array" ref="S358">_xlfn.IFS(Table1[[#This Row],[Coupon frequency]]="Semi-annual",2,Table1[[#This Row],[Coupon frequency]]="Quarterly",4,Table1[[#This Row],[Coupon frequency]]="Annual",1,Table1[[#This Row],[Coupon frequency]]="Every 4 months",3,Table1[[#This Row],[Coupon frequency]]="Monthly",12)</f>
        <v>4</v>
      </c>
      <c r="T358">
        <f>Table1[[#This Row],[Term to Maturity (Years)]]*Table1[[#This Row],[Coupon Frequency2]]</f>
        <v>32</v>
      </c>
      <c r="U358">
        <f>Table1[[#This Row],[Face value]]*Table1[[#This Row],[Current coupon %]]/Table1[[#This Row],[Coupon Frequency2]]</f>
        <v>24050</v>
      </c>
      <c r="V358" s="23">
        <f>RATE(Table1[[#This Row],[Total No. of Coupons]],Table1[[#This Row],[Coupon Amount]],-Table1[[#This Row],[Ask Price]],Table1[[#This Row],[Face value]])</f>
        <v>2.250382032401263E-2</v>
      </c>
      <c r="W358" s="24">
        <f>Table1[[#This Row],[IRR]]*Table1[[#This Row],[Coupon Frequency2]]</f>
        <v>9.001528129605052E-2</v>
      </c>
      <c r="X358" s="25" cm="1">
        <f t="array" ref="X3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8" s="26">
        <f>DURATION(Table1[[#This Row],[Issue date]],Table1[[#This Row],[Maturity date]],Table1[[#This Row],[Current coupon %]],Table1[[#This Row],[Yield (Annualised)]],Table1[[#This Row],[Coupon Frequency2]])</f>
        <v>5.675482556347462</v>
      </c>
      <c r="Z358" s="26">
        <f>Table1[[#This Row],[Macaulay Duration in Years]]/(1+Table1[[#This Row],[IRR]])</f>
        <v>5.5505734487613028</v>
      </c>
      <c r="AA358" s="27">
        <f>VLOOKUP(Table1[[#This Row],[Yield Cluster]],'[1]Cluster Details'!$B$3:$C$16,2,0)</f>
        <v>7.8548801574189142E-2</v>
      </c>
      <c r="AB358" s="28">
        <f>PRICE(Table1[[#This Row],[Issue date]],Table1[[#This Row],[Maturity date]],Table1[[#This Row],[Current coupon %]],Table1[[#This Row],[Average Cluster Yield]],100,Table1[[#This Row],[Coupon Frequency2]])*Table1[[#This Row],[Face value]]/100</f>
        <v>1103713.1114590771</v>
      </c>
      <c r="AC358" s="27" t="str">
        <f>IF(Table1[[#This Row],[Ask Price]]&gt;Table1[[#This Row],[Calculated Bond Price]],"Rich","Cheap")</f>
        <v>Cheap</v>
      </c>
      <c r="AD358" s="28">
        <f>PRICE(Table1[[#This Row],[Issue date]],Table1[[#This Row],[Maturity date]],Table1[[#This Row],[Current coupon %]],Table1[[#This Row],[Yield (Annualised)]]+$AE$2,100,Table1[[#This Row],[Coupon Frequency2]])*Table1[[#This Row],[Face value]]/100</f>
        <v>979188.64965102286</v>
      </c>
      <c r="AE358" s="28">
        <f>PRICE(Table1[[#This Row],[Issue date]],Table1[[#This Row],[Maturity date]],Table1[[#This Row],[Current coupon %]],Table1[[#This Row],[Yield (Annualised)]]-$AE$2,100,Table1[[#This Row],[Coupon Frequency2]])*Table1[[#This Row],[Face value]]/100</f>
        <v>1094589.4559551177</v>
      </c>
      <c r="AF358" s="28">
        <f>(Table1[[#This Row],[P (+ shock)]]+Table1[[#This Row],[P (-shock)]]-2*Table1[[#This Row],[Ask Price]])/(2*Table1[[#This Row],[Ask Price]]*($AE$2^2))</f>
        <v>18.251717904060719</v>
      </c>
    </row>
    <row r="359" spans="1:32" x14ac:dyDescent="0.25">
      <c r="A359" s="21" t="s">
        <v>764</v>
      </c>
      <c r="B359" s="3" t="s">
        <v>765</v>
      </c>
      <c r="C359" s="3" t="s">
        <v>19</v>
      </c>
      <c r="D359" s="4">
        <v>45712</v>
      </c>
      <c r="E359" s="4">
        <v>46258</v>
      </c>
      <c r="F359" s="3">
        <v>1000</v>
      </c>
      <c r="G359" s="3" t="s">
        <v>20</v>
      </c>
      <c r="H359" s="3">
        <v>1016</v>
      </c>
      <c r="I359" s="3" t="s">
        <v>20</v>
      </c>
      <c r="J359" s="3">
        <v>101.6</v>
      </c>
      <c r="K359" s="3">
        <v>88</v>
      </c>
      <c r="L359" s="5">
        <v>9.3000000000000013E-2</v>
      </c>
      <c r="M359" s="3" t="s">
        <v>21</v>
      </c>
      <c r="N359" s="3">
        <v>341</v>
      </c>
      <c r="O359" s="6">
        <f>Table1[[#This Row],[Current coupon %]]*Table1[[#This Row],[Face value]]/Table1[[#This Row],[Ask Price]]</f>
        <v>9.153543307086616E-2</v>
      </c>
      <c r="P359" s="3"/>
      <c r="Q359" s="3" t="s">
        <v>22</v>
      </c>
      <c r="R359">
        <f t="shared" si="5"/>
        <v>2</v>
      </c>
      <c r="S359" s="22" cm="1">
        <f t="array" ref="S359">_xlfn.IFS(Table1[[#This Row],[Coupon frequency]]="Semi-annual",2,Table1[[#This Row],[Coupon frequency]]="Quarterly",4,Table1[[#This Row],[Coupon frequency]]="Annual",1,Table1[[#This Row],[Coupon frequency]]="Every 4 months",3,Table1[[#This Row],[Coupon frequency]]="Monthly",12)</f>
        <v>1</v>
      </c>
      <c r="T359">
        <f>Table1[[#This Row],[Term to Maturity (Years)]]*Table1[[#This Row],[Coupon Frequency2]]</f>
        <v>2</v>
      </c>
      <c r="U359">
        <f>Table1[[#This Row],[Face value]]*Table1[[#This Row],[Current coupon %]]/Table1[[#This Row],[Coupon Frequency2]]</f>
        <v>93.000000000000014</v>
      </c>
      <c r="V359" s="23">
        <f>RATE(Table1[[#This Row],[Total No. of Coupons]],Table1[[#This Row],[Coupon Amount]],-Table1[[#This Row],[Ask Price]],Table1[[#This Row],[Face value]])</f>
        <v>8.3978718910032724E-2</v>
      </c>
      <c r="W359" s="24">
        <f>Table1[[#This Row],[IRR]]*Table1[[#This Row],[Coupon Frequency2]]</f>
        <v>8.3978718910032724E-2</v>
      </c>
      <c r="X359" s="25" cm="1">
        <f t="array" ref="X3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59" s="26">
        <f>DURATION(Table1[[#This Row],[Issue date]],Table1[[#This Row],[Maturity date]],Table1[[#This Row],[Current coupon %]],Table1[[#This Row],[Yield (Annualised)]],Table1[[#This Row],[Coupon Frequency2]])</f>
        <v>1.4155560607657434</v>
      </c>
      <c r="Z359" s="26">
        <f>Table1[[#This Row],[Macaulay Duration in Years]]/(1+Table1[[#This Row],[IRR]])</f>
        <v>1.3058891619100417</v>
      </c>
      <c r="AA359" s="27">
        <f>VLOOKUP(Table1[[#This Row],[Yield Cluster]],'[1]Cluster Details'!$B$3:$C$16,2,0)</f>
        <v>7.8548801574189142E-2</v>
      </c>
      <c r="AB359" s="28">
        <f>PRICE(Table1[[#This Row],[Issue date]],Table1[[#This Row],[Maturity date]],Table1[[#This Row],[Current coupon %]],Table1[[#This Row],[Average Cluster Yield]],100,Table1[[#This Row],[Coupon Frequency2]])*Table1[[#This Row],[Face value]]/100</f>
        <v>1018.8486833453047</v>
      </c>
      <c r="AC359" s="27" t="str">
        <f>IF(Table1[[#This Row],[Ask Price]]&gt;Table1[[#This Row],[Calculated Bond Price]],"Rich","Cheap")</f>
        <v>Cheap</v>
      </c>
      <c r="AD359" s="28">
        <f>PRICE(Table1[[#This Row],[Issue date]],Table1[[#This Row],[Maturity date]],Table1[[#This Row],[Current coupon %]],Table1[[#This Row],[Yield (Annualised)]]+$AE$2,100,Table1[[#This Row],[Coupon Frequency2]])*Table1[[#This Row],[Face value]]/100</f>
        <v>997.64328797142559</v>
      </c>
      <c r="AE359" s="28">
        <f>PRICE(Table1[[#This Row],[Issue date]],Table1[[#This Row],[Maturity date]],Table1[[#This Row],[Current coupon %]],Table1[[#This Row],[Yield (Annualised)]]-$AE$2,100,Table1[[#This Row],[Coupon Frequency2]])*Table1[[#This Row],[Face value]]/100</f>
        <v>1025.2740831872165</v>
      </c>
      <c r="AF359" s="28">
        <f>(Table1[[#This Row],[P (+ shock)]]+Table1[[#This Row],[P (-shock)]]-2*Table1[[#This Row],[Ask Price]])/(2*Table1[[#This Row],[Ask Price]]*($AE$2^2))</f>
        <v>-44.697976581484966</v>
      </c>
    </row>
    <row r="360" spans="1:32" x14ac:dyDescent="0.25">
      <c r="A360" s="21" t="s">
        <v>766</v>
      </c>
      <c r="B360" s="3" t="s">
        <v>767</v>
      </c>
      <c r="C360" s="3" t="s">
        <v>19</v>
      </c>
      <c r="D360" s="4">
        <v>45320</v>
      </c>
      <c r="E360" s="4">
        <v>46416</v>
      </c>
      <c r="F360" s="3">
        <v>1000</v>
      </c>
      <c r="G360" s="3" t="s">
        <v>20</v>
      </c>
      <c r="H360" s="3">
        <v>1036.8</v>
      </c>
      <c r="I360" s="3" t="s">
        <v>20</v>
      </c>
      <c r="J360" s="3">
        <v>103.679999999999</v>
      </c>
      <c r="K360" s="3">
        <v>80</v>
      </c>
      <c r="L360" s="5">
        <v>9.6000000000000002E-2</v>
      </c>
      <c r="M360" s="3" t="s">
        <v>21</v>
      </c>
      <c r="N360" s="3">
        <v>499</v>
      </c>
      <c r="O360" s="6">
        <f>Table1[[#This Row],[Current coupon %]]*Table1[[#This Row],[Face value]]/Table1[[#This Row],[Ask Price]]</f>
        <v>9.2592592592592601E-2</v>
      </c>
      <c r="P360" s="3"/>
      <c r="Q360" s="3" t="s">
        <v>22</v>
      </c>
      <c r="R360">
        <f t="shared" si="5"/>
        <v>3</v>
      </c>
      <c r="S360" s="22" cm="1">
        <f t="array" ref="S360">_xlfn.IFS(Table1[[#This Row],[Coupon frequency]]="Semi-annual",2,Table1[[#This Row],[Coupon frequency]]="Quarterly",4,Table1[[#This Row],[Coupon frequency]]="Annual",1,Table1[[#This Row],[Coupon frequency]]="Every 4 months",3,Table1[[#This Row],[Coupon frequency]]="Monthly",12)</f>
        <v>1</v>
      </c>
      <c r="T360">
        <f>Table1[[#This Row],[Term to Maturity (Years)]]*Table1[[#This Row],[Coupon Frequency2]]</f>
        <v>3</v>
      </c>
      <c r="U360">
        <f>Table1[[#This Row],[Face value]]*Table1[[#This Row],[Current coupon %]]/Table1[[#This Row],[Coupon Frequency2]]</f>
        <v>96</v>
      </c>
      <c r="V360" s="23">
        <f>RATE(Table1[[#This Row],[Total No. of Coupons]],Table1[[#This Row],[Coupon Amount]],-Table1[[#This Row],[Ask Price]],Table1[[#This Row],[Face value]])</f>
        <v>8.1677133206563696E-2</v>
      </c>
      <c r="W360" s="24">
        <f>Table1[[#This Row],[IRR]]*Table1[[#This Row],[Coupon Frequency2]]</f>
        <v>8.1677133206563696E-2</v>
      </c>
      <c r="X360" s="25" cm="1">
        <f t="array" ref="X3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60" s="26">
        <f>DURATION(Table1[[#This Row],[Issue date]],Table1[[#This Row],[Maturity date]],Table1[[#This Row],[Current coupon %]],Table1[[#This Row],[Yield (Annualised)]],Table1[[#This Row],[Coupon Frequency2]])</f>
        <v>2.7496608469494817</v>
      </c>
      <c r="Z360" s="26">
        <f>Table1[[#This Row],[Macaulay Duration in Years]]/(1+Table1[[#This Row],[IRR]])</f>
        <v>2.5420347371107725</v>
      </c>
      <c r="AA360" s="27">
        <f>VLOOKUP(Table1[[#This Row],[Yield Cluster]],'[1]Cluster Details'!$B$3:$C$16,2,0)</f>
        <v>7.8548801574189142E-2</v>
      </c>
      <c r="AB360" s="28">
        <f>PRICE(Table1[[#This Row],[Issue date]],Table1[[#This Row],[Maturity date]],Table1[[#This Row],[Current coupon %]],Table1[[#This Row],[Average Cluster Yield]],100,Table1[[#This Row],[Coupon Frequency2]])*Table1[[#This Row],[Face value]]/100</f>
        <v>1045.0914560073952</v>
      </c>
      <c r="AC360" s="27" t="str">
        <f>IF(Table1[[#This Row],[Ask Price]]&gt;Table1[[#This Row],[Calculated Bond Price]],"Rich","Cheap")</f>
        <v>Cheap</v>
      </c>
      <c r="AD360" s="28">
        <f>PRICE(Table1[[#This Row],[Issue date]],Table1[[#This Row],[Maturity date]],Table1[[#This Row],[Current coupon %]],Table1[[#This Row],[Yield (Annualised)]]+$AE$2,100,Table1[[#This Row],[Coupon Frequency2]])*Table1[[#This Row],[Face value]]/100</f>
        <v>1010.9098249198538</v>
      </c>
      <c r="AE360" s="28">
        <f>PRICE(Table1[[#This Row],[Issue date]],Table1[[#This Row],[Maturity date]],Table1[[#This Row],[Current coupon %]],Table1[[#This Row],[Yield (Annualised)]]-$AE$2,100,Table1[[#This Row],[Coupon Frequency2]])*Table1[[#This Row],[Face value]]/100</f>
        <v>1063.6358039750999</v>
      </c>
      <c r="AF360" s="28">
        <f>(Table1[[#This Row],[P (+ shock)]]+Table1[[#This Row],[P (-shock)]]-2*Table1[[#This Row],[Ask Price]])/(2*Table1[[#This Row],[Ask Price]]*($AE$2^2))</f>
        <v>4.5603245319909478</v>
      </c>
    </row>
    <row r="361" spans="1:32" x14ac:dyDescent="0.25">
      <c r="A361" s="21" t="s">
        <v>768</v>
      </c>
      <c r="B361" s="3" t="s">
        <v>769</v>
      </c>
      <c r="C361" s="3" t="s">
        <v>19</v>
      </c>
      <c r="D361" s="4">
        <v>41186</v>
      </c>
      <c r="E361" s="4">
        <v>46668</v>
      </c>
      <c r="F361" s="3">
        <v>100000</v>
      </c>
      <c r="G361" s="3" t="s">
        <v>20</v>
      </c>
      <c r="H361" s="3">
        <v>108965</v>
      </c>
      <c r="I361" s="3" t="s">
        <v>20</v>
      </c>
      <c r="J361" s="3">
        <v>108.965</v>
      </c>
      <c r="K361" s="3">
        <v>2</v>
      </c>
      <c r="L361" s="5">
        <v>0.1012</v>
      </c>
      <c r="M361" s="3" t="s">
        <v>21</v>
      </c>
      <c r="N361" s="3">
        <v>751</v>
      </c>
      <c r="O361" s="6">
        <f>Table1[[#This Row],[Current coupon %]]*Table1[[#This Row],[Face value]]/Table1[[#This Row],[Ask Price]]</f>
        <v>9.2873858578442617E-2</v>
      </c>
      <c r="P361" s="3"/>
      <c r="Q361" s="3" t="s">
        <v>22</v>
      </c>
      <c r="R361">
        <f t="shared" si="5"/>
        <v>15</v>
      </c>
      <c r="S361" s="22" cm="1">
        <f t="array" ref="S361">_xlfn.IFS(Table1[[#This Row],[Coupon frequency]]="Semi-annual",2,Table1[[#This Row],[Coupon frequency]]="Quarterly",4,Table1[[#This Row],[Coupon frequency]]="Annual",1,Table1[[#This Row],[Coupon frequency]]="Every 4 months",3,Table1[[#This Row],[Coupon frequency]]="Monthly",12)</f>
        <v>1</v>
      </c>
      <c r="T361">
        <f>Table1[[#This Row],[Term to Maturity (Years)]]*Table1[[#This Row],[Coupon Frequency2]]</f>
        <v>15</v>
      </c>
      <c r="U361">
        <f>Table1[[#This Row],[Face value]]*Table1[[#This Row],[Current coupon %]]/Table1[[#This Row],[Coupon Frequency2]]</f>
        <v>10120</v>
      </c>
      <c r="V361" s="23">
        <f>RATE(Table1[[#This Row],[Total No. of Coupons]],Table1[[#This Row],[Coupon Amount]],-Table1[[#This Row],[Ask Price]],Table1[[#This Row],[Face value]])</f>
        <v>9.0073307628211294E-2</v>
      </c>
      <c r="W361" s="24">
        <f>Table1[[#This Row],[IRR]]*Table1[[#This Row],[Coupon Frequency2]]</f>
        <v>9.0073307628211294E-2</v>
      </c>
      <c r="X361" s="25" cm="1">
        <f t="array" ref="X3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61" s="26">
        <f>DURATION(Table1[[#This Row],[Issue date]],Table1[[#This Row],[Maturity date]],Table1[[#This Row],[Current coupon %]],Table1[[#This Row],[Yield (Annualised)]],Table1[[#This Row],[Coupon Frequency2]])</f>
        <v>7.8707920130459064</v>
      </c>
      <c r="Z361" s="26">
        <f>Table1[[#This Row],[Macaulay Duration in Years]]/(1+Table1[[#This Row],[IRR]])</f>
        <v>7.2204244961939565</v>
      </c>
      <c r="AA361" s="27">
        <f>VLOOKUP(Table1[[#This Row],[Yield Cluster]],'[1]Cluster Details'!$B$3:$C$16,2,0)</f>
        <v>7.8548801574189142E-2</v>
      </c>
      <c r="AB361" s="28">
        <f>PRICE(Table1[[#This Row],[Issue date]],Table1[[#This Row],[Maturity date]],Table1[[#This Row],[Current coupon %]],Table1[[#This Row],[Average Cluster Yield]],100,Table1[[#This Row],[Coupon Frequency2]])*Table1[[#This Row],[Face value]]/100</f>
        <v>119564.76766992199</v>
      </c>
      <c r="AC361" s="27" t="str">
        <f>IF(Table1[[#This Row],[Ask Price]]&gt;Table1[[#This Row],[Calculated Bond Price]],"Rich","Cheap")</f>
        <v>Cheap</v>
      </c>
      <c r="AD361" s="28">
        <f>PRICE(Table1[[#This Row],[Issue date]],Table1[[#This Row],[Maturity date]],Table1[[#This Row],[Current coupon %]],Table1[[#This Row],[Yield (Annualised)]]+$AE$2,100,Table1[[#This Row],[Coupon Frequency2]])*Table1[[#This Row],[Face value]]/100</f>
        <v>100851.51280730544</v>
      </c>
      <c r="AE361" s="28">
        <f>PRICE(Table1[[#This Row],[Issue date]],Table1[[#This Row],[Maturity date]],Table1[[#This Row],[Current coupon %]],Table1[[#This Row],[Yield (Annualised)]]-$AE$2,100,Table1[[#This Row],[Coupon Frequency2]])*Table1[[#This Row],[Face value]]/100</f>
        <v>118078.02777852585</v>
      </c>
      <c r="AF361" s="28">
        <f>(Table1[[#This Row],[P (+ shock)]]+Table1[[#This Row],[P (-shock)]]-2*Table1[[#This Row],[Ask Price]])/(2*Table1[[#This Row],[Ask Price]]*($AE$2^2))</f>
        <v>45.865212950547111</v>
      </c>
    </row>
    <row r="362" spans="1:32" x14ac:dyDescent="0.25">
      <c r="A362" s="21" t="s">
        <v>770</v>
      </c>
      <c r="B362" s="3" t="s">
        <v>771</v>
      </c>
      <c r="C362" s="3" t="s">
        <v>19</v>
      </c>
      <c r="D362" s="4">
        <v>45607</v>
      </c>
      <c r="E362" s="4">
        <v>46337</v>
      </c>
      <c r="F362" s="3">
        <v>100000</v>
      </c>
      <c r="G362" s="3" t="s">
        <v>20</v>
      </c>
      <c r="H362" s="3">
        <v>101797.78</v>
      </c>
      <c r="I362" s="3" t="s">
        <v>20</v>
      </c>
      <c r="J362" s="3">
        <v>101.79777999999899</v>
      </c>
      <c r="K362" s="3">
        <v>1</v>
      </c>
      <c r="L362" s="5">
        <v>9.4499999999999987E-2</v>
      </c>
      <c r="M362" s="3" t="s">
        <v>21</v>
      </c>
      <c r="N362" s="3">
        <v>420</v>
      </c>
      <c r="O362" s="6">
        <f>Table1[[#This Row],[Current coupon %]]*Table1[[#This Row],[Face value]]/Table1[[#This Row],[Ask Price]]</f>
        <v>9.2831101031869243E-2</v>
      </c>
      <c r="P362" s="3"/>
      <c r="Q362" s="3" t="s">
        <v>22</v>
      </c>
      <c r="R362">
        <f t="shared" si="5"/>
        <v>2</v>
      </c>
      <c r="S362" s="22" cm="1">
        <f t="array" ref="S362">_xlfn.IFS(Table1[[#This Row],[Coupon frequency]]="Semi-annual",2,Table1[[#This Row],[Coupon frequency]]="Quarterly",4,Table1[[#This Row],[Coupon frequency]]="Annual",1,Table1[[#This Row],[Coupon frequency]]="Every 4 months",3,Table1[[#This Row],[Coupon frequency]]="Monthly",12)</f>
        <v>1</v>
      </c>
      <c r="T362">
        <f>Table1[[#This Row],[Term to Maturity (Years)]]*Table1[[#This Row],[Coupon Frequency2]]</f>
        <v>2</v>
      </c>
      <c r="U362">
        <f>Table1[[#This Row],[Face value]]*Table1[[#This Row],[Current coupon %]]/Table1[[#This Row],[Coupon Frequency2]]</f>
        <v>9449.9999999999982</v>
      </c>
      <c r="V362" s="23">
        <f>RATE(Table1[[#This Row],[Total No. of Coupons]],Table1[[#This Row],[Coupon Amount]],-Table1[[#This Row],[Ask Price]],Table1[[#This Row],[Face value]])</f>
        <v>8.4358322454975876E-2</v>
      </c>
      <c r="W362" s="24">
        <f>Table1[[#This Row],[IRR]]*Table1[[#This Row],[Coupon Frequency2]]</f>
        <v>8.4358322454975876E-2</v>
      </c>
      <c r="X362" s="25" cm="1">
        <f t="array" ref="X3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62" s="26">
        <f>DURATION(Table1[[#This Row],[Issue date]],Table1[[#This Row],[Maturity date]],Table1[[#This Row],[Current coupon %]],Table1[[#This Row],[Yield (Annualised)]],Table1[[#This Row],[Coupon Frequency2]])</f>
        <v>1.9143907515536926</v>
      </c>
      <c r="Z362" s="26">
        <f>Table1[[#This Row],[Macaulay Duration in Years]]/(1+Table1[[#This Row],[IRR]])</f>
        <v>1.7654595458994882</v>
      </c>
      <c r="AA362" s="27">
        <f>VLOOKUP(Table1[[#This Row],[Yield Cluster]],'[1]Cluster Details'!$B$3:$C$16,2,0)</f>
        <v>7.8548801574189142E-2</v>
      </c>
      <c r="AB362" s="28">
        <f>PRICE(Table1[[#This Row],[Issue date]],Table1[[#This Row],[Maturity date]],Table1[[#This Row],[Current coupon %]],Table1[[#This Row],[Average Cluster Yield]],100,Table1[[#This Row],[Coupon Frequency2]])*Table1[[#This Row],[Face value]]/100</f>
        <v>102850.19085260788</v>
      </c>
      <c r="AC362" s="27" t="str">
        <f>IF(Table1[[#This Row],[Ask Price]]&gt;Table1[[#This Row],[Calculated Bond Price]],"Rich","Cheap")</f>
        <v>Cheap</v>
      </c>
      <c r="AD362" s="28">
        <f>PRICE(Table1[[#This Row],[Issue date]],Table1[[#This Row],[Maturity date]],Table1[[#This Row],[Current coupon %]],Table1[[#This Row],[Yield (Annualised)]]+$AE$2,100,Table1[[#This Row],[Coupon Frequency2]])*Table1[[#This Row],[Face value]]/100</f>
        <v>100024.77609854157</v>
      </c>
      <c r="AE362" s="28">
        <f>PRICE(Table1[[#This Row],[Issue date]],Table1[[#This Row],[Maturity date]],Table1[[#This Row],[Current coupon %]],Table1[[#This Row],[Yield (Annualised)]]-$AE$2,100,Table1[[#This Row],[Coupon Frequency2]])*Table1[[#This Row],[Face value]]/100</f>
        <v>103619.77113208582</v>
      </c>
      <c r="AF362" s="28">
        <f>(Table1[[#This Row],[P (+ shock)]]+Table1[[#This Row],[P (-shock)]]-2*Table1[[#This Row],[Ask Price]])/(2*Table1[[#This Row],[Ask Price]]*($AE$2^2))</f>
        <v>2.4061050558956238</v>
      </c>
    </row>
    <row r="363" spans="1:32" x14ac:dyDescent="0.25">
      <c r="A363" s="21" t="s">
        <v>772</v>
      </c>
      <c r="B363" s="3" t="s">
        <v>773</v>
      </c>
      <c r="C363" s="3" t="s">
        <v>19</v>
      </c>
      <c r="D363" s="4">
        <v>40756</v>
      </c>
      <c r="E363" s="4">
        <v>46235</v>
      </c>
      <c r="F363" s="3">
        <v>1000000</v>
      </c>
      <c r="G363" s="3" t="s">
        <v>20</v>
      </c>
      <c r="H363" s="3">
        <v>1020000</v>
      </c>
      <c r="I363" s="3" t="s">
        <v>20</v>
      </c>
      <c r="J363" s="3">
        <v>102</v>
      </c>
      <c r="K363" s="3">
        <v>4</v>
      </c>
      <c r="L363" s="5">
        <v>9.4600000000000004E-2</v>
      </c>
      <c r="M363" s="3" t="s">
        <v>21</v>
      </c>
      <c r="N363" s="3">
        <v>318</v>
      </c>
      <c r="O363" s="6">
        <f>Table1[[#This Row],[Current coupon %]]*Table1[[#This Row],[Face value]]/Table1[[#This Row],[Ask Price]]</f>
        <v>9.2745098039215684E-2</v>
      </c>
      <c r="P363" s="3" t="s">
        <v>54</v>
      </c>
      <c r="Q363" s="3" t="s">
        <v>22</v>
      </c>
      <c r="R363">
        <f t="shared" si="5"/>
        <v>15</v>
      </c>
      <c r="S363" s="22" cm="1">
        <f t="array" ref="S363">_xlfn.IFS(Table1[[#This Row],[Coupon frequency]]="Semi-annual",2,Table1[[#This Row],[Coupon frequency]]="Quarterly",4,Table1[[#This Row],[Coupon frequency]]="Annual",1,Table1[[#This Row],[Coupon frequency]]="Every 4 months",3,Table1[[#This Row],[Coupon frequency]]="Monthly",12)</f>
        <v>1</v>
      </c>
      <c r="T363">
        <f>Table1[[#This Row],[Term to Maturity (Years)]]*Table1[[#This Row],[Coupon Frequency2]]</f>
        <v>15</v>
      </c>
      <c r="U363">
        <f>Table1[[#This Row],[Face value]]*Table1[[#This Row],[Current coupon %]]/Table1[[#This Row],[Coupon Frequency2]]</f>
        <v>94600</v>
      </c>
      <c r="V363" s="23">
        <f>RATE(Table1[[#This Row],[Total No. of Coupons]],Table1[[#This Row],[Coupon Amount]],-Table1[[#This Row],[Ask Price]],Table1[[#This Row],[Face value]])</f>
        <v>9.2088156038545352E-2</v>
      </c>
      <c r="W363" s="24">
        <f>Table1[[#This Row],[IRR]]*Table1[[#This Row],[Coupon Frequency2]]</f>
        <v>9.2088156038545352E-2</v>
      </c>
      <c r="X363" s="25" cm="1">
        <f t="array" ref="X3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63" s="26">
        <f>DURATION(Table1[[#This Row],[Issue date]],Table1[[#This Row],[Maturity date]],Table1[[#This Row],[Current coupon %]],Table1[[#This Row],[Yield (Annualised)]],Table1[[#This Row],[Coupon Frequency2]])</f>
        <v>8.650534321814348</v>
      </c>
      <c r="Z363" s="26">
        <f>Table1[[#This Row],[Macaulay Duration in Years]]/(1+Table1[[#This Row],[IRR]])</f>
        <v>7.9210952650502202</v>
      </c>
      <c r="AA363" s="27">
        <f>VLOOKUP(Table1[[#This Row],[Yield Cluster]],'[1]Cluster Details'!$B$3:$C$16,2,0)</f>
        <v>7.8548801574189142E-2</v>
      </c>
      <c r="AB363" s="28">
        <f>PRICE(Table1[[#This Row],[Issue date]],Table1[[#This Row],[Maturity date]],Table1[[#This Row],[Current coupon %]],Table1[[#This Row],[Average Cluster Yield]],100,Table1[[#This Row],[Coupon Frequency2]])*Table1[[#This Row],[Face value]]/100</f>
        <v>1138615.7291138424</v>
      </c>
      <c r="AC363" s="27" t="str">
        <f>IF(Table1[[#This Row],[Ask Price]]&gt;Table1[[#This Row],[Calculated Bond Price]],"Rich","Cheap")</f>
        <v>Cheap</v>
      </c>
      <c r="AD363" s="28">
        <f>PRICE(Table1[[#This Row],[Issue date]],Table1[[#This Row],[Maturity date]],Table1[[#This Row],[Current coupon %]],Table1[[#This Row],[Yield (Annualised)]]+$AE$2,100,Table1[[#This Row],[Coupon Frequency2]])*Table1[[#This Row],[Face value]]/100</f>
        <v>943716.99430315779</v>
      </c>
      <c r="AE363" s="28">
        <f>PRICE(Table1[[#This Row],[Issue date]],Table1[[#This Row],[Maturity date]],Table1[[#This Row],[Current coupon %]],Table1[[#This Row],[Yield (Annualised)]]-$AE$2,100,Table1[[#This Row],[Coupon Frequency2]])*Table1[[#This Row],[Face value]]/100</f>
        <v>1105742.7907478169</v>
      </c>
      <c r="AF363" s="28">
        <f>(Table1[[#This Row],[P (+ shock)]]+Table1[[#This Row],[P (-shock)]]-2*Table1[[#This Row],[Ask Price]])/(2*Table1[[#This Row],[Ask Price]]*($AE$2^2))</f>
        <v>46.371495347915165</v>
      </c>
    </row>
    <row r="364" spans="1:32" x14ac:dyDescent="0.25">
      <c r="A364" s="21" t="s">
        <v>774</v>
      </c>
      <c r="B364" s="3" t="s">
        <v>775</v>
      </c>
      <c r="C364" s="3" t="s">
        <v>19</v>
      </c>
      <c r="D364" s="4">
        <v>44854</v>
      </c>
      <c r="E364" s="4">
        <v>46680</v>
      </c>
      <c r="F364" s="3">
        <v>1000</v>
      </c>
      <c r="G364" s="3" t="s">
        <v>20</v>
      </c>
      <c r="H364" s="3">
        <v>1051.5</v>
      </c>
      <c r="I364" s="3" t="s">
        <v>20</v>
      </c>
      <c r="J364" s="3">
        <v>105.15</v>
      </c>
      <c r="K364" s="3">
        <v>100</v>
      </c>
      <c r="L364" s="5">
        <v>9.7500000000000003E-2</v>
      </c>
      <c r="M364" s="3" t="s">
        <v>21</v>
      </c>
      <c r="N364" s="3">
        <v>763</v>
      </c>
      <c r="O364" s="6">
        <f>Table1[[#This Row],[Current coupon %]]*Table1[[#This Row],[Face value]]/Table1[[#This Row],[Ask Price]]</f>
        <v>9.2724679029957208E-2</v>
      </c>
      <c r="P364" s="3"/>
      <c r="Q364" s="3" t="s">
        <v>22</v>
      </c>
      <c r="R364">
        <f t="shared" si="5"/>
        <v>5</v>
      </c>
      <c r="S364" s="22" cm="1">
        <f t="array" ref="S364">_xlfn.IFS(Table1[[#This Row],[Coupon frequency]]="Semi-annual",2,Table1[[#This Row],[Coupon frequency]]="Quarterly",4,Table1[[#This Row],[Coupon frequency]]="Annual",1,Table1[[#This Row],[Coupon frequency]]="Every 4 months",3,Table1[[#This Row],[Coupon frequency]]="Monthly",12)</f>
        <v>1</v>
      </c>
      <c r="T364">
        <f>Table1[[#This Row],[Term to Maturity (Years)]]*Table1[[#This Row],[Coupon Frequency2]]</f>
        <v>5</v>
      </c>
      <c r="U364">
        <f>Table1[[#This Row],[Face value]]*Table1[[#This Row],[Current coupon %]]/Table1[[#This Row],[Coupon Frequency2]]</f>
        <v>97.5</v>
      </c>
      <c r="V364" s="23">
        <f>RATE(Table1[[#This Row],[Total No. of Coupons]],Table1[[#This Row],[Coupon Amount]],-Table1[[#This Row],[Ask Price]],Table1[[#This Row],[Face value]])</f>
        <v>8.4449859764653482E-2</v>
      </c>
      <c r="W364" s="24">
        <f>Table1[[#This Row],[IRR]]*Table1[[#This Row],[Coupon Frequency2]]</f>
        <v>8.4449859764653482E-2</v>
      </c>
      <c r="X364" s="25" cm="1">
        <f t="array" ref="X3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64" s="26">
        <f>DURATION(Table1[[#This Row],[Issue date]],Table1[[#This Row],[Maturity date]],Table1[[#This Row],[Current coupon %]],Table1[[#This Row],[Yield (Annualised)]],Table1[[#This Row],[Coupon Frequency2]])</f>
        <v>4.2089937396611701</v>
      </c>
      <c r="Z364" s="26">
        <f>Table1[[#This Row],[Macaulay Duration in Years]]/(1+Table1[[#This Row],[IRR]])</f>
        <v>3.8812248457246357</v>
      </c>
      <c r="AA364" s="27">
        <f>VLOOKUP(Table1[[#This Row],[Yield Cluster]],'[1]Cluster Details'!$B$3:$C$16,2,0)</f>
        <v>7.8548801574189142E-2</v>
      </c>
      <c r="AB364" s="28">
        <f>PRICE(Table1[[#This Row],[Issue date]],Table1[[#This Row],[Maturity date]],Table1[[#This Row],[Current coupon %]],Table1[[#This Row],[Average Cluster Yield]],100,Table1[[#This Row],[Coupon Frequency2]])*Table1[[#This Row],[Face value]]/100</f>
        <v>1075.9569365376594</v>
      </c>
      <c r="AC364" s="27" t="str">
        <f>IF(Table1[[#This Row],[Ask Price]]&gt;Table1[[#This Row],[Calculated Bond Price]],"Rich","Cheap")</f>
        <v>Cheap</v>
      </c>
      <c r="AD364" s="28">
        <f>PRICE(Table1[[#This Row],[Issue date]],Table1[[#This Row],[Maturity date]],Table1[[#This Row],[Current coupon %]],Table1[[#This Row],[Yield (Annualised)]]+$AE$2,100,Table1[[#This Row],[Coupon Frequency2]])*Table1[[#This Row],[Face value]]/100</f>
        <v>1011.7282570955661</v>
      </c>
      <c r="AE364" s="28">
        <f>PRICE(Table1[[#This Row],[Issue date]],Table1[[#This Row],[Maturity date]],Table1[[#This Row],[Current coupon %]],Table1[[#This Row],[Yield (Annualised)]]-$AE$2,100,Table1[[#This Row],[Coupon Frequency2]])*Table1[[#This Row],[Face value]]/100</f>
        <v>1093.3946627527923</v>
      </c>
      <c r="AF364" s="28">
        <f>(Table1[[#This Row],[P (+ shock)]]+Table1[[#This Row],[P (-shock)]]-2*Table1[[#This Row],[Ask Price]])/(2*Table1[[#This Row],[Ask Price]]*($AE$2^2))</f>
        <v>10.094721104890056</v>
      </c>
    </row>
    <row r="365" spans="1:32" x14ac:dyDescent="0.25">
      <c r="A365" s="21" t="s">
        <v>776</v>
      </c>
      <c r="B365" s="3" t="s">
        <v>777</v>
      </c>
      <c r="C365" s="3" t="s">
        <v>19</v>
      </c>
      <c r="D365" s="4">
        <v>45476</v>
      </c>
      <c r="E365" s="4">
        <v>46571</v>
      </c>
      <c r="F365" s="3">
        <v>1000</v>
      </c>
      <c r="G365" s="3" t="s">
        <v>20</v>
      </c>
      <c r="H365" s="3">
        <v>1000</v>
      </c>
      <c r="I365" s="3" t="s">
        <v>20</v>
      </c>
      <c r="J365" s="3">
        <v>100</v>
      </c>
      <c r="K365" s="3">
        <v>1087</v>
      </c>
      <c r="L365" s="5">
        <v>0.1</v>
      </c>
      <c r="M365" s="3" t="s">
        <v>21</v>
      </c>
      <c r="N365" s="3">
        <v>654</v>
      </c>
      <c r="O365" s="6">
        <f>Table1[[#This Row],[Current coupon %]]*Table1[[#This Row],[Face value]]/Table1[[#This Row],[Ask Price]]</f>
        <v>0.1</v>
      </c>
      <c r="P365" s="3"/>
      <c r="Q365" s="3" t="s">
        <v>22</v>
      </c>
      <c r="R365">
        <f t="shared" si="5"/>
        <v>3</v>
      </c>
      <c r="S365" s="22" cm="1">
        <f t="array" ref="S365">_xlfn.IFS(Table1[[#This Row],[Coupon frequency]]="Semi-annual",2,Table1[[#This Row],[Coupon frequency]]="Quarterly",4,Table1[[#This Row],[Coupon frequency]]="Annual",1,Table1[[#This Row],[Coupon frequency]]="Every 4 months",3,Table1[[#This Row],[Coupon frequency]]="Monthly",12)</f>
        <v>1</v>
      </c>
      <c r="T365">
        <f>Table1[[#This Row],[Term to Maturity (Years)]]*Table1[[#This Row],[Coupon Frequency2]]</f>
        <v>3</v>
      </c>
      <c r="U365">
        <f>Table1[[#This Row],[Face value]]*Table1[[#This Row],[Current coupon %]]/Table1[[#This Row],[Coupon Frequency2]]</f>
        <v>100</v>
      </c>
      <c r="V365" s="23">
        <f>RATE(Table1[[#This Row],[Total No. of Coupons]],Table1[[#This Row],[Coupon Amount]],-Table1[[#This Row],[Ask Price]],Table1[[#This Row],[Face value]])</f>
        <v>0.1</v>
      </c>
      <c r="W365" s="24">
        <f>Table1[[#This Row],[IRR]]*Table1[[#This Row],[Coupon Frequency2]]</f>
        <v>0.1</v>
      </c>
      <c r="X365" s="25" cm="1">
        <f t="array" ref="X3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65" s="26">
        <f>DURATION(Table1[[#This Row],[Issue date]],Table1[[#This Row],[Maturity date]],Table1[[#This Row],[Current coupon %]],Table1[[#This Row],[Yield (Annualised)]],Table1[[#This Row],[Coupon Frequency2]])</f>
        <v>2.7355371900826451</v>
      </c>
      <c r="Z365" s="26">
        <f>Table1[[#This Row],[Macaulay Duration in Years]]/(1+Table1[[#This Row],[IRR]])</f>
        <v>2.4868519909842224</v>
      </c>
      <c r="AA365" s="27">
        <f>VLOOKUP(Table1[[#This Row],[Yield Cluster]],'[1]Cluster Details'!$B$3:$C$16,2,0)</f>
        <v>0.11069942689191503</v>
      </c>
      <c r="AB365" s="28">
        <f>PRICE(Table1[[#This Row],[Issue date]],Table1[[#This Row],[Maturity date]],Table1[[#This Row],[Current coupon %]],Table1[[#This Row],[Average Cluster Yield]],100,Table1[[#This Row],[Coupon Frequency2]])*Table1[[#This Row],[Face value]]/100</f>
        <v>973.88542649689816</v>
      </c>
      <c r="AC365" s="27" t="str">
        <f>IF(Table1[[#This Row],[Ask Price]]&gt;Table1[[#This Row],[Calculated Bond Price]],"Rich","Cheap")</f>
        <v>Rich</v>
      </c>
      <c r="AD365" s="28">
        <f>PRICE(Table1[[#This Row],[Issue date]],Table1[[#This Row],[Maturity date]],Table1[[#This Row],[Current coupon %]],Table1[[#This Row],[Yield (Annualised)]]+$AE$2,100,Table1[[#This Row],[Coupon Frequency2]])*Table1[[#This Row],[Face value]]/100</f>
        <v>975.56285284554076</v>
      </c>
      <c r="AE365" s="28">
        <f>PRICE(Table1[[#This Row],[Issue date]],Table1[[#This Row],[Maturity date]],Table1[[#This Row],[Current coupon %]],Table1[[#This Row],[Yield (Annualised)]]-$AE$2,100,Table1[[#This Row],[Coupon Frequency2]])*Table1[[#This Row],[Face value]]/100</f>
        <v>1025.3129466598816</v>
      </c>
      <c r="AF365" s="28">
        <f>(Table1[[#This Row],[P (+ shock)]]+Table1[[#This Row],[P (-shock)]]-2*Table1[[#This Row],[Ask Price]])/(2*Table1[[#This Row],[Ask Price]]*($AE$2^2))</f>
        <v>4.3789975271124604</v>
      </c>
    </row>
    <row r="366" spans="1:32" x14ac:dyDescent="0.25">
      <c r="A366" s="21" t="s">
        <v>778</v>
      </c>
      <c r="B366" s="3" t="s">
        <v>779</v>
      </c>
      <c r="C366" s="3" t="s">
        <v>19</v>
      </c>
      <c r="D366" s="4">
        <v>44959</v>
      </c>
      <c r="E366" s="4">
        <v>46144</v>
      </c>
      <c r="F366" s="3">
        <v>1000</v>
      </c>
      <c r="G366" s="3" t="s">
        <v>20</v>
      </c>
      <c r="H366" s="3">
        <v>1047.8</v>
      </c>
      <c r="I366" s="3" t="s">
        <v>20</v>
      </c>
      <c r="J366" s="3">
        <v>104.78</v>
      </c>
      <c r="K366" s="3">
        <v>41</v>
      </c>
      <c r="L366" s="5">
        <v>0.1</v>
      </c>
      <c r="M366" s="3" t="s">
        <v>21</v>
      </c>
      <c r="N366" s="3">
        <v>227</v>
      </c>
      <c r="O366" s="6">
        <f>Table1[[#This Row],[Current coupon %]]*Table1[[#This Row],[Face value]]/Table1[[#This Row],[Ask Price]]</f>
        <v>9.5438060698606608E-2</v>
      </c>
      <c r="P366" s="3"/>
      <c r="Q366" s="3" t="s">
        <v>22</v>
      </c>
      <c r="R366">
        <f t="shared" si="5"/>
        <v>3</v>
      </c>
      <c r="S366" s="22" cm="1">
        <f t="array" ref="S366">_xlfn.IFS(Table1[[#This Row],[Coupon frequency]]="Semi-annual",2,Table1[[#This Row],[Coupon frequency]]="Quarterly",4,Table1[[#This Row],[Coupon frequency]]="Annual",1,Table1[[#This Row],[Coupon frequency]]="Every 4 months",3,Table1[[#This Row],[Coupon frequency]]="Monthly",12)</f>
        <v>1</v>
      </c>
      <c r="T366">
        <f>Table1[[#This Row],[Term to Maturity (Years)]]*Table1[[#This Row],[Coupon Frequency2]]</f>
        <v>3</v>
      </c>
      <c r="U366">
        <f>Table1[[#This Row],[Face value]]*Table1[[#This Row],[Current coupon %]]/Table1[[#This Row],[Coupon Frequency2]]</f>
        <v>100</v>
      </c>
      <c r="V366" s="23">
        <f>RATE(Table1[[#This Row],[Total No. of Coupons]],Table1[[#This Row],[Coupon Amount]],-Table1[[#This Row],[Ask Price]],Table1[[#This Row],[Face value]])</f>
        <v>8.1404958497058588E-2</v>
      </c>
      <c r="W366" s="24">
        <f>Table1[[#This Row],[IRR]]*Table1[[#This Row],[Coupon Frequency2]]</f>
        <v>8.1404958497058588E-2</v>
      </c>
      <c r="X366" s="25" cm="1">
        <f t="array" ref="X3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66" s="26">
        <f>DURATION(Table1[[#This Row],[Issue date]],Table1[[#This Row],[Maturity date]],Table1[[#This Row],[Current coupon %]],Table1[[#This Row],[Yield (Annualised)]],Table1[[#This Row],[Coupon Frequency2]])</f>
        <v>2.7530006539929985</v>
      </c>
      <c r="Z366" s="26">
        <f>Table1[[#This Row],[Macaulay Duration in Years]]/(1+Table1[[#This Row],[IRR]])</f>
        <v>2.5457629284584851</v>
      </c>
      <c r="AA366" s="27">
        <f>VLOOKUP(Table1[[#This Row],[Yield Cluster]],'[1]Cluster Details'!$B$3:$C$16,2,0)</f>
        <v>7.8548801574189142E-2</v>
      </c>
      <c r="AB366" s="28">
        <f>PRICE(Table1[[#This Row],[Issue date]],Table1[[#This Row],[Maturity date]],Table1[[#This Row],[Current coupon %]],Table1[[#This Row],[Average Cluster Yield]],100,Table1[[#This Row],[Coupon Frequency2]])*Table1[[#This Row],[Face value]]/100</f>
        <v>1058.7897407064788</v>
      </c>
      <c r="AC366" s="27" t="str">
        <f>IF(Table1[[#This Row],[Ask Price]]&gt;Table1[[#This Row],[Calculated Bond Price]],"Rich","Cheap")</f>
        <v>Cheap</v>
      </c>
      <c r="AD366" s="28">
        <f>PRICE(Table1[[#This Row],[Issue date]],Table1[[#This Row],[Maturity date]],Table1[[#This Row],[Current coupon %]],Table1[[#This Row],[Yield (Annualised)]]+$AE$2,100,Table1[[#This Row],[Coupon Frequency2]])*Table1[[#This Row],[Face value]]/100</f>
        <v>1022.4407920915053</v>
      </c>
      <c r="AE366" s="28">
        <f>PRICE(Table1[[#This Row],[Issue date]],Table1[[#This Row],[Maturity date]],Table1[[#This Row],[Current coupon %]],Table1[[#This Row],[Yield (Annualised)]]-$AE$2,100,Table1[[#This Row],[Coupon Frequency2]])*Table1[[#This Row],[Face value]]/100</f>
        <v>1079.7662640666597</v>
      </c>
      <c r="AF366" s="28">
        <f>(Table1[[#This Row],[P (+ shock)]]+Table1[[#This Row],[P (-shock)]]-2*Table1[[#This Row],[Ask Price]])/(2*Table1[[#This Row],[Ask Price]]*($AE$2^2))</f>
        <v>31.528231333102934</v>
      </c>
    </row>
    <row r="367" spans="1:32" x14ac:dyDescent="0.25">
      <c r="A367" s="21" t="s">
        <v>780</v>
      </c>
      <c r="B367" s="3" t="s">
        <v>781</v>
      </c>
      <c r="C367" s="3" t="s">
        <v>19</v>
      </c>
      <c r="D367" s="4">
        <v>45862</v>
      </c>
      <c r="E367" s="4">
        <v>46592</v>
      </c>
      <c r="F367" s="3">
        <v>1000</v>
      </c>
      <c r="G367" s="3" t="s">
        <v>20</v>
      </c>
      <c r="H367" s="3">
        <v>971.5</v>
      </c>
      <c r="I367" s="3" t="s">
        <v>20</v>
      </c>
      <c r="J367" s="3">
        <v>97.15</v>
      </c>
      <c r="K367" s="3">
        <v>10</v>
      </c>
      <c r="L367" s="5">
        <v>0.09</v>
      </c>
      <c r="M367" s="3" t="s">
        <v>21</v>
      </c>
      <c r="N367" s="3">
        <v>675</v>
      </c>
      <c r="O367" s="6">
        <f>Table1[[#This Row],[Current coupon %]]*Table1[[#This Row],[Face value]]/Table1[[#This Row],[Ask Price]]</f>
        <v>9.2640247040658777E-2</v>
      </c>
      <c r="P367" s="3"/>
      <c r="Q367" s="3" t="s">
        <v>22</v>
      </c>
      <c r="R367">
        <f t="shared" si="5"/>
        <v>2</v>
      </c>
      <c r="S367" s="22" cm="1">
        <f t="array" ref="S367">_xlfn.IFS(Table1[[#This Row],[Coupon frequency]]="Semi-annual",2,Table1[[#This Row],[Coupon frequency]]="Quarterly",4,Table1[[#This Row],[Coupon frequency]]="Annual",1,Table1[[#This Row],[Coupon frequency]]="Every 4 months",3,Table1[[#This Row],[Coupon frequency]]="Monthly",12)</f>
        <v>1</v>
      </c>
      <c r="T367">
        <f>Table1[[#This Row],[Term to Maturity (Years)]]*Table1[[#This Row],[Coupon Frequency2]]</f>
        <v>2</v>
      </c>
      <c r="U367">
        <f>Table1[[#This Row],[Face value]]*Table1[[#This Row],[Current coupon %]]/Table1[[#This Row],[Coupon Frequency2]]</f>
        <v>90</v>
      </c>
      <c r="V367" s="23">
        <f>RATE(Table1[[#This Row],[Total No. of Coupons]],Table1[[#This Row],[Coupon Amount]],-Table1[[#This Row],[Ask Price]],Table1[[#This Row],[Face value]])</f>
        <v>0.10656626433440805</v>
      </c>
      <c r="W367" s="24">
        <f>Table1[[#This Row],[IRR]]*Table1[[#This Row],[Coupon Frequency2]]</f>
        <v>0.10656626433440805</v>
      </c>
      <c r="X367" s="25" cm="1">
        <f t="array" ref="X3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367" s="26">
        <f>DURATION(Table1[[#This Row],[Issue date]],Table1[[#This Row],[Maturity date]],Table1[[#This Row],[Current coupon %]],Table1[[#This Row],[Yield (Annualised)]],Table1[[#This Row],[Coupon Frequency2]])</f>
        <v>1.9162813380216044</v>
      </c>
      <c r="Z367" s="26">
        <f>Table1[[#This Row],[Macaulay Duration in Years]]/(1+Table1[[#This Row],[IRR]])</f>
        <v>1.7317366341131268</v>
      </c>
      <c r="AA367" s="27">
        <f>VLOOKUP(Table1[[#This Row],[Yield Cluster]],'[1]Cluster Details'!$B$3:$C$16,2,0)</f>
        <v>0.11069942689191503</v>
      </c>
      <c r="AB367" s="28">
        <f>PRICE(Table1[[#This Row],[Issue date]],Table1[[#This Row],[Maturity date]],Table1[[#This Row],[Current coupon %]],Table1[[#This Row],[Average Cluster Yield]],100,Table1[[#This Row],[Coupon Frequency2]])*Table1[[#This Row],[Face value]]/100</f>
        <v>964.58464349680571</v>
      </c>
      <c r="AC367" s="27" t="str">
        <f>IF(Table1[[#This Row],[Ask Price]]&gt;Table1[[#This Row],[Calculated Bond Price]],"Rich","Cheap")</f>
        <v>Rich</v>
      </c>
      <c r="AD367" s="28">
        <f>PRICE(Table1[[#This Row],[Issue date]],Table1[[#This Row],[Maturity date]],Table1[[#This Row],[Current coupon %]],Table1[[#This Row],[Yield (Annualised)]]+$AE$2,100,Table1[[#This Row],[Coupon Frequency2]])*Table1[[#This Row],[Face value]]/100</f>
        <v>954.89825396423532</v>
      </c>
      <c r="AE367" s="28">
        <f>PRICE(Table1[[#This Row],[Issue date]],Table1[[#This Row],[Maturity date]],Table1[[#This Row],[Current coupon %]],Table1[[#This Row],[Yield (Annualised)]]-$AE$2,100,Table1[[#This Row],[Coupon Frequency2]])*Table1[[#This Row],[Face value]]/100</f>
        <v>988.55127315431946</v>
      </c>
      <c r="AF367" s="28">
        <f>(Table1[[#This Row],[P (+ shock)]]+Table1[[#This Row],[P (-shock)]]-2*Table1[[#This Row],[Ask Price]])/(2*Table1[[#This Row],[Ask Price]]*($AE$2^2))</f>
        <v>2.3135724063544512</v>
      </c>
    </row>
    <row r="368" spans="1:32" x14ac:dyDescent="0.25">
      <c r="A368" s="21" t="s">
        <v>782</v>
      </c>
      <c r="B368" s="3" t="s">
        <v>783</v>
      </c>
      <c r="C368" s="3" t="s">
        <v>19</v>
      </c>
      <c r="D368" s="4">
        <v>45601</v>
      </c>
      <c r="E368" s="4">
        <v>45996</v>
      </c>
      <c r="F368" s="3">
        <v>100000</v>
      </c>
      <c r="G368" s="3" t="s">
        <v>20</v>
      </c>
      <c r="H368" s="3">
        <v>107624.42</v>
      </c>
      <c r="I368" s="3" t="s">
        <v>20</v>
      </c>
      <c r="J368" s="3">
        <v>107.62441999999901</v>
      </c>
      <c r="K368" s="3">
        <v>2</v>
      </c>
      <c r="L368" s="5">
        <v>9.9700000000000011E-2</v>
      </c>
      <c r="M368" s="3" t="s">
        <v>21</v>
      </c>
      <c r="N368" s="3">
        <v>79</v>
      </c>
      <c r="O368" s="6">
        <f>Table1[[#This Row],[Current coupon %]]*Table1[[#This Row],[Face value]]/Table1[[#This Row],[Ask Price]]</f>
        <v>9.2636968450097126E-2</v>
      </c>
      <c r="P368" s="3"/>
      <c r="Q368" s="3" t="s">
        <v>22</v>
      </c>
      <c r="R368">
        <f t="shared" si="5"/>
        <v>1</v>
      </c>
      <c r="S368" s="22" cm="1">
        <f t="array" ref="S368">_xlfn.IFS(Table1[[#This Row],[Coupon frequency]]="Semi-annual",2,Table1[[#This Row],[Coupon frequency]]="Quarterly",4,Table1[[#This Row],[Coupon frequency]]="Annual",1,Table1[[#This Row],[Coupon frequency]]="Every 4 months",3,Table1[[#This Row],[Coupon frequency]]="Monthly",12)</f>
        <v>1</v>
      </c>
      <c r="T368">
        <f>Table1[[#This Row],[Term to Maturity (Years)]]*Table1[[#This Row],[Coupon Frequency2]]</f>
        <v>1</v>
      </c>
      <c r="U368">
        <f>Table1[[#This Row],[Face value]]*Table1[[#This Row],[Current coupon %]]/Table1[[#This Row],[Coupon Frequency2]]</f>
        <v>9970.0000000000018</v>
      </c>
      <c r="V368" s="23">
        <f>RATE(Table1[[#This Row],[Total No. of Coupons]],Table1[[#This Row],[Coupon Amount]],-Table1[[#This Row],[Ask Price]],Table1[[#This Row],[Face value]])</f>
        <v>2.179412441897461E-2</v>
      </c>
      <c r="W368" s="24">
        <f>Table1[[#This Row],[IRR]]*Table1[[#This Row],[Coupon Frequency2]]</f>
        <v>2.179412441897461E-2</v>
      </c>
      <c r="X368" s="25" cm="1">
        <f t="array" ref="X3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368" s="26">
        <f>DURATION(Table1[[#This Row],[Issue date]],Table1[[#This Row],[Maturity date]],Table1[[#This Row],[Current coupon %]],Table1[[#This Row],[Yield (Annualised)]],Table1[[#This Row],[Coupon Frequency2]])</f>
        <v>0.99855039890498221</v>
      </c>
      <c r="Z368" s="26">
        <f>Table1[[#This Row],[Macaulay Duration in Years]]/(1+Table1[[#This Row],[IRR]])</f>
        <v>0.97725204622094541</v>
      </c>
      <c r="AA368" s="27">
        <f>VLOOKUP(Table1[[#This Row],[Yield Cluster]],'[1]Cluster Details'!$B$3:$C$16,2,0)</f>
        <v>3.4641747232266588E-2</v>
      </c>
      <c r="AB368" s="28">
        <f>PRICE(Table1[[#This Row],[Issue date]],Table1[[#This Row],[Maturity date]],Table1[[#This Row],[Current coupon %]],Table1[[#This Row],[Average Cluster Yield]],100,Table1[[#This Row],[Coupon Frequency2]])*Table1[[#This Row],[Face value]]/100</f>
        <v>106789.36636537322</v>
      </c>
      <c r="AC368" s="27" t="str">
        <f>IF(Table1[[#This Row],[Ask Price]]&gt;Table1[[#This Row],[Calculated Bond Price]],"Rich","Cheap")</f>
        <v>Rich</v>
      </c>
      <c r="AD368" s="28">
        <f>PRICE(Table1[[#This Row],[Issue date]],Table1[[#This Row],[Maturity date]],Table1[[#This Row],[Current coupon %]],Table1[[#This Row],[Yield (Annualised)]]+$AE$2,100,Table1[[#This Row],[Coupon Frequency2]])*Table1[[#This Row],[Face value]]/100</f>
        <v>107108.57252737529</v>
      </c>
      <c r="AE368" s="28">
        <f>PRICE(Table1[[#This Row],[Issue date]],Table1[[#This Row],[Maturity date]],Table1[[#This Row],[Current coupon %]],Table1[[#This Row],[Yield (Annualised)]]-$AE$2,100,Table1[[#This Row],[Coupon Frequency2]])*Table1[[#This Row],[Face value]]/100</f>
        <v>109403.06874562945</v>
      </c>
      <c r="AF368" s="28">
        <f>(Table1[[#This Row],[P (+ shock)]]+Table1[[#This Row],[P (-shock)]]-2*Table1[[#This Row],[Ask Price]])/(2*Table1[[#This Row],[Ask Price]]*($AE$2^2))</f>
        <v>58.667041968949199</v>
      </c>
    </row>
    <row r="369" spans="1:32" x14ac:dyDescent="0.25">
      <c r="A369" s="21" t="s">
        <v>784</v>
      </c>
      <c r="B369" s="3" t="s">
        <v>785</v>
      </c>
      <c r="C369" s="3" t="s">
        <v>19</v>
      </c>
      <c r="D369" s="4">
        <v>45560</v>
      </c>
      <c r="E369" s="4">
        <v>46655</v>
      </c>
      <c r="F369" s="3">
        <v>1000</v>
      </c>
      <c r="G369" s="3" t="s">
        <v>20</v>
      </c>
      <c r="H369" s="3">
        <v>1032.55</v>
      </c>
      <c r="I369" s="3" t="s">
        <v>20</v>
      </c>
      <c r="J369" s="3">
        <v>103.254999999999</v>
      </c>
      <c r="K369" s="3">
        <v>500</v>
      </c>
      <c r="L369" s="5">
        <v>9.4E-2</v>
      </c>
      <c r="M369" s="3" t="s">
        <v>21</v>
      </c>
      <c r="N369" s="3">
        <v>738</v>
      </c>
      <c r="O369" s="6">
        <f>Table1[[#This Row],[Current coupon %]]*Table1[[#This Row],[Face value]]/Table1[[#This Row],[Ask Price]]</f>
        <v>9.1036753668103237E-2</v>
      </c>
      <c r="P369" s="3" t="s">
        <v>25</v>
      </c>
      <c r="Q369" s="3" t="s">
        <v>22</v>
      </c>
      <c r="R369">
        <f t="shared" si="5"/>
        <v>3</v>
      </c>
      <c r="S369" s="22" cm="1">
        <f t="array" ref="S369">_xlfn.IFS(Table1[[#This Row],[Coupon frequency]]="Semi-annual",2,Table1[[#This Row],[Coupon frequency]]="Quarterly",4,Table1[[#This Row],[Coupon frequency]]="Annual",1,Table1[[#This Row],[Coupon frequency]]="Every 4 months",3,Table1[[#This Row],[Coupon frequency]]="Monthly",12)</f>
        <v>1</v>
      </c>
      <c r="T369">
        <f>Table1[[#This Row],[Term to Maturity (Years)]]*Table1[[#This Row],[Coupon Frequency2]]</f>
        <v>3</v>
      </c>
      <c r="U369">
        <f>Table1[[#This Row],[Face value]]*Table1[[#This Row],[Current coupon %]]/Table1[[#This Row],[Coupon Frequency2]]</f>
        <v>94</v>
      </c>
      <c r="V369" s="23">
        <f>RATE(Table1[[#This Row],[Total No. of Coupons]],Table1[[#This Row],[Coupon Amount]],-Table1[[#This Row],[Ask Price]],Table1[[#This Row],[Face value]])</f>
        <v>8.1338981760927367E-2</v>
      </c>
      <c r="W369" s="24">
        <f>Table1[[#This Row],[IRR]]*Table1[[#This Row],[Coupon Frequency2]]</f>
        <v>8.1338981760927367E-2</v>
      </c>
      <c r="X369" s="25" cm="1">
        <f t="array" ref="X3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69" s="26">
        <f>DURATION(Table1[[#This Row],[Issue date]],Table1[[#This Row],[Maturity date]],Table1[[#This Row],[Current coupon %]],Table1[[#This Row],[Yield (Annualised)]],Table1[[#This Row],[Coupon Frequency2]])</f>
        <v>2.7537660021319028</v>
      </c>
      <c r="Z369" s="26">
        <f>Table1[[#This Row],[Macaulay Duration in Years]]/(1+Table1[[#This Row],[IRR]])</f>
        <v>2.5466260336305266</v>
      </c>
      <c r="AA369" s="27">
        <f>VLOOKUP(Table1[[#This Row],[Yield Cluster]],'[1]Cluster Details'!$B$3:$C$16,2,0)</f>
        <v>7.8548801574189142E-2</v>
      </c>
      <c r="AB369" s="28">
        <f>PRICE(Table1[[#This Row],[Issue date]],Table1[[#This Row],[Maturity date]],Table1[[#This Row],[Current coupon %]],Table1[[#This Row],[Average Cluster Yield]],100,Table1[[#This Row],[Coupon Frequency2]])*Table1[[#This Row],[Face value]]/100</f>
        <v>1039.9237357274283</v>
      </c>
      <c r="AC369" s="27" t="str">
        <f>IF(Table1[[#This Row],[Ask Price]]&gt;Table1[[#This Row],[Calculated Bond Price]],"Rich","Cheap")</f>
        <v>Cheap</v>
      </c>
      <c r="AD369" s="28">
        <f>PRICE(Table1[[#This Row],[Issue date]],Table1[[#This Row],[Maturity date]],Table1[[#This Row],[Current coupon %]],Table1[[#This Row],[Yield (Annualised)]]+$AE$2,100,Table1[[#This Row],[Coupon Frequency2]])*Table1[[#This Row],[Face value]]/100</f>
        <v>1006.7197795533473</v>
      </c>
      <c r="AE369" s="28">
        <f>PRICE(Table1[[#This Row],[Issue date]],Table1[[#This Row],[Maturity date]],Table1[[#This Row],[Current coupon %]],Table1[[#This Row],[Yield (Annualised)]]-$AE$2,100,Table1[[#This Row],[Coupon Frequency2]])*Table1[[#This Row],[Face value]]/100</f>
        <v>1059.3244884375129</v>
      </c>
      <c r="AF369" s="28">
        <f>(Table1[[#This Row],[P (+ shock)]]+Table1[[#This Row],[P (-shock)]]-2*Table1[[#This Row],[Ask Price]])/(2*Table1[[#This Row],[Ask Price]]*($AE$2^2))</f>
        <v>4.5725049191817631</v>
      </c>
    </row>
    <row r="370" spans="1:32" x14ac:dyDescent="0.25">
      <c r="A370" s="21" t="s">
        <v>786</v>
      </c>
      <c r="B370" s="3" t="s">
        <v>787</v>
      </c>
      <c r="C370" s="3" t="s">
        <v>19</v>
      </c>
      <c r="D370" s="4">
        <v>45412</v>
      </c>
      <c r="E370" s="4">
        <v>46203</v>
      </c>
      <c r="F370" s="3">
        <v>1000</v>
      </c>
      <c r="G370" s="3" t="s">
        <v>20</v>
      </c>
      <c r="H370" s="3">
        <v>1020</v>
      </c>
      <c r="I370" s="3" t="s">
        <v>20</v>
      </c>
      <c r="J370" s="3">
        <v>102</v>
      </c>
      <c r="K370" s="3">
        <v>100</v>
      </c>
      <c r="L370" s="5">
        <v>9.2499999999999999E-2</v>
      </c>
      <c r="M370" s="3" t="s">
        <v>21</v>
      </c>
      <c r="N370" s="3">
        <v>286</v>
      </c>
      <c r="O370" s="6">
        <f>Table1[[#This Row],[Current coupon %]]*Table1[[#This Row],[Face value]]/Table1[[#This Row],[Ask Price]]</f>
        <v>9.0686274509803919E-2</v>
      </c>
      <c r="P370" s="3"/>
      <c r="Q370" s="3" t="s">
        <v>22</v>
      </c>
      <c r="R370">
        <f t="shared" si="5"/>
        <v>2</v>
      </c>
      <c r="S370" s="22" cm="1">
        <f t="array" ref="S370">_xlfn.IFS(Table1[[#This Row],[Coupon frequency]]="Semi-annual",2,Table1[[#This Row],[Coupon frequency]]="Quarterly",4,Table1[[#This Row],[Coupon frequency]]="Annual",1,Table1[[#This Row],[Coupon frequency]]="Every 4 months",3,Table1[[#This Row],[Coupon frequency]]="Monthly",12)</f>
        <v>1</v>
      </c>
      <c r="T370">
        <f>Table1[[#This Row],[Term to Maturity (Years)]]*Table1[[#This Row],[Coupon Frequency2]]</f>
        <v>2</v>
      </c>
      <c r="U370">
        <f>Table1[[#This Row],[Face value]]*Table1[[#This Row],[Current coupon %]]/Table1[[#This Row],[Coupon Frequency2]]</f>
        <v>92.5</v>
      </c>
      <c r="V370" s="23">
        <f>RATE(Table1[[#This Row],[Total No. of Coupons]],Table1[[#This Row],[Coupon Amount]],-Table1[[#This Row],[Ask Price]],Table1[[#This Row],[Face value]])</f>
        <v>8.126515722970018E-2</v>
      </c>
      <c r="W370" s="24">
        <f>Table1[[#This Row],[IRR]]*Table1[[#This Row],[Coupon Frequency2]]</f>
        <v>8.126515722970018E-2</v>
      </c>
      <c r="X370" s="25" cm="1">
        <f t="array" ref="X3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0" s="26">
        <f>DURATION(Table1[[#This Row],[Issue date]],Table1[[#This Row],[Maturity date]],Table1[[#This Row],[Current coupon %]],Table1[[#This Row],[Yield (Annualised)]],Table1[[#This Row],[Coupon Frequency2]])</f>
        <v>1.923477512764733</v>
      </c>
      <c r="Z370" s="26">
        <f>Table1[[#This Row],[Macaulay Duration in Years]]/(1+Table1[[#This Row],[IRR]])</f>
        <v>1.7789138028759364</v>
      </c>
      <c r="AA370" s="27">
        <f>VLOOKUP(Table1[[#This Row],[Yield Cluster]],'[1]Cluster Details'!$B$3:$C$16,2,0)</f>
        <v>7.8548801574189142E-2</v>
      </c>
      <c r="AB370" s="28">
        <f>PRICE(Table1[[#This Row],[Issue date]],Table1[[#This Row],[Maturity date]],Table1[[#This Row],[Current coupon %]],Table1[[#This Row],[Average Cluster Yield]],100,Table1[[#This Row],[Coupon Frequency2]])*Table1[[#This Row],[Face value]]/100</f>
        <v>1026.3506480050878</v>
      </c>
      <c r="AC370" s="27" t="str">
        <f>IF(Table1[[#This Row],[Ask Price]]&gt;Table1[[#This Row],[Calculated Bond Price]],"Rich","Cheap")</f>
        <v>Cheap</v>
      </c>
      <c r="AD370" s="28">
        <f>PRICE(Table1[[#This Row],[Issue date]],Table1[[#This Row],[Maturity date]],Table1[[#This Row],[Current coupon %]],Table1[[#This Row],[Yield (Annualised)]]+$AE$2,100,Table1[[#This Row],[Coupon Frequency2]])*Table1[[#This Row],[Face value]]/100</f>
        <v>1001.7662738185782</v>
      </c>
      <c r="AE370" s="28">
        <f>PRICE(Table1[[#This Row],[Issue date]],Table1[[#This Row],[Maturity date]],Table1[[#This Row],[Current coupon %]],Table1[[#This Row],[Yield (Annualised)]]-$AE$2,100,Table1[[#This Row],[Coupon Frequency2]])*Table1[[#This Row],[Face value]]/100</f>
        <v>1040.8421692983839</v>
      </c>
      <c r="AF370" s="28">
        <f>(Table1[[#This Row],[P (+ shock)]]+Table1[[#This Row],[P (-shock)]]-2*Table1[[#This Row],[Ask Price]])/(2*Table1[[#This Row],[Ask Price]]*($AE$2^2))</f>
        <v>12.78648586746082</v>
      </c>
    </row>
    <row r="371" spans="1:32" x14ac:dyDescent="0.25">
      <c r="A371" s="21" t="s">
        <v>788</v>
      </c>
      <c r="B371" s="3" t="s">
        <v>789</v>
      </c>
      <c r="C371" s="3" t="s">
        <v>19</v>
      </c>
      <c r="D371" s="4">
        <v>44916</v>
      </c>
      <c r="E371" s="4">
        <v>47452</v>
      </c>
      <c r="F371" s="3">
        <v>1000000</v>
      </c>
      <c r="G371" s="3" t="s">
        <v>20</v>
      </c>
      <c r="H371" s="3">
        <v>1039968</v>
      </c>
      <c r="I371" s="3" t="s">
        <v>20</v>
      </c>
      <c r="J371" s="3">
        <v>103.99679999999999</v>
      </c>
      <c r="K371" s="3">
        <v>1</v>
      </c>
      <c r="L371" s="5">
        <v>9.6199999999999994E-2</v>
      </c>
      <c r="M371" s="3" t="s">
        <v>44</v>
      </c>
      <c r="N371" s="3">
        <v>1535</v>
      </c>
      <c r="O371" s="6">
        <f>Table1[[#This Row],[Current coupon %]]*Table1[[#This Row],[Face value]]/Table1[[#This Row],[Ask Price]]</f>
        <v>9.2502846241422812E-2</v>
      </c>
      <c r="P371" s="3"/>
      <c r="Q371" s="3" t="s">
        <v>22</v>
      </c>
      <c r="R371">
        <f t="shared" si="5"/>
        <v>7</v>
      </c>
      <c r="S371" s="22" cm="1">
        <f t="array" ref="S371">_xlfn.IFS(Table1[[#This Row],[Coupon frequency]]="Semi-annual",2,Table1[[#This Row],[Coupon frequency]]="Quarterly",4,Table1[[#This Row],[Coupon frequency]]="Annual",1,Table1[[#This Row],[Coupon frequency]]="Every 4 months",3,Table1[[#This Row],[Coupon frequency]]="Monthly",12)</f>
        <v>4</v>
      </c>
      <c r="T371">
        <f>Table1[[#This Row],[Term to Maturity (Years)]]*Table1[[#This Row],[Coupon Frequency2]]</f>
        <v>28</v>
      </c>
      <c r="U371">
        <f>Table1[[#This Row],[Face value]]*Table1[[#This Row],[Current coupon %]]/Table1[[#This Row],[Coupon Frequency2]]</f>
        <v>24050</v>
      </c>
      <c r="V371" s="23">
        <f>RATE(Table1[[#This Row],[Total No. of Coupons]],Table1[[#This Row],[Coupon Amount]],-Table1[[#This Row],[Ask Price]],Table1[[#This Row],[Face value]])</f>
        <v>2.2119943177975727E-2</v>
      </c>
      <c r="W371" s="24">
        <f>Table1[[#This Row],[IRR]]*Table1[[#This Row],[Coupon Frequency2]]</f>
        <v>8.847977271190291E-2</v>
      </c>
      <c r="X371" s="25" cm="1">
        <f t="array" ref="X3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1" s="26">
        <f>DURATION(Table1[[#This Row],[Issue date]],Table1[[#This Row],[Maturity date]],Table1[[#This Row],[Current coupon %]],Table1[[#This Row],[Yield (Annualised)]],Table1[[#This Row],[Coupon Frequency2]])</f>
        <v>5.1555518200550026</v>
      </c>
      <c r="Z371" s="26">
        <f>Table1[[#This Row],[Macaulay Duration in Years]]/(1+Table1[[#This Row],[IRR]])</f>
        <v>5.0439792848825151</v>
      </c>
      <c r="AA371" s="27">
        <f>VLOOKUP(Table1[[#This Row],[Yield Cluster]],'[1]Cluster Details'!$B$3:$C$16,2,0)</f>
        <v>7.8548801574189142E-2</v>
      </c>
      <c r="AB371" s="28">
        <f>PRICE(Table1[[#This Row],[Issue date]],Table1[[#This Row],[Maturity date]],Table1[[#This Row],[Current coupon %]],Table1[[#This Row],[Average Cluster Yield]],100,Table1[[#This Row],[Coupon Frequency2]])*Table1[[#This Row],[Face value]]/100</f>
        <v>1093718.2449745322</v>
      </c>
      <c r="AC371" s="27" t="str">
        <f>IF(Table1[[#This Row],[Ask Price]]&gt;Table1[[#This Row],[Calculated Bond Price]],"Rich","Cheap")</f>
        <v>Cheap</v>
      </c>
      <c r="AD371" s="28">
        <f>PRICE(Table1[[#This Row],[Issue date]],Table1[[#This Row],[Maturity date]],Table1[[#This Row],[Current coupon %]],Table1[[#This Row],[Yield (Annualised)]]+$AE$2,100,Table1[[#This Row],[Coupon Frequency2]])*Table1[[#This Row],[Face value]]/100</f>
        <v>988580.99738906801</v>
      </c>
      <c r="AE371" s="28">
        <f>PRICE(Table1[[#This Row],[Issue date]],Table1[[#This Row],[Maturity date]],Table1[[#This Row],[Current coupon %]],Table1[[#This Row],[Yield (Annualised)]]-$AE$2,100,Table1[[#This Row],[Coupon Frequency2]])*Table1[[#This Row],[Face value]]/100</f>
        <v>1094105.8891063957</v>
      </c>
      <c r="AF371" s="28">
        <f>(Table1[[#This Row],[P (+ shock)]]+Table1[[#This Row],[P (-shock)]]-2*Table1[[#This Row],[Ask Price]])/(2*Table1[[#This Row],[Ask Price]]*($AE$2^2))</f>
        <v>13.225822791968358</v>
      </c>
    </row>
    <row r="372" spans="1:32" x14ac:dyDescent="0.25">
      <c r="A372" s="21" t="s">
        <v>790</v>
      </c>
      <c r="B372" s="3" t="s">
        <v>791</v>
      </c>
      <c r="C372" s="3" t="s">
        <v>19</v>
      </c>
      <c r="D372" s="4">
        <v>45279</v>
      </c>
      <c r="E372" s="4">
        <v>46010</v>
      </c>
      <c r="F372" s="3">
        <v>100000</v>
      </c>
      <c r="G372" s="3" t="s">
        <v>20</v>
      </c>
      <c r="H372" s="3">
        <v>100000</v>
      </c>
      <c r="I372" s="3" t="s">
        <v>20</v>
      </c>
      <c r="J372" s="3">
        <v>100</v>
      </c>
      <c r="K372" s="3">
        <v>1</v>
      </c>
      <c r="L372" s="5">
        <v>9.2499999999999999E-2</v>
      </c>
      <c r="M372" s="3" t="s">
        <v>21</v>
      </c>
      <c r="N372" s="3">
        <v>93</v>
      </c>
      <c r="O372" s="6">
        <f>Table1[[#This Row],[Current coupon %]]*Table1[[#This Row],[Face value]]/Table1[[#This Row],[Ask Price]]</f>
        <v>9.2499999999999999E-2</v>
      </c>
      <c r="P372" s="3" t="s">
        <v>97</v>
      </c>
      <c r="Q372" s="3" t="s">
        <v>22</v>
      </c>
      <c r="R372">
        <f t="shared" si="5"/>
        <v>2</v>
      </c>
      <c r="S372" s="22" cm="1">
        <f t="array" ref="S372">_xlfn.IFS(Table1[[#This Row],[Coupon frequency]]="Semi-annual",2,Table1[[#This Row],[Coupon frequency]]="Quarterly",4,Table1[[#This Row],[Coupon frequency]]="Annual",1,Table1[[#This Row],[Coupon frequency]]="Every 4 months",3,Table1[[#This Row],[Coupon frequency]]="Monthly",12)</f>
        <v>1</v>
      </c>
      <c r="T372">
        <f>Table1[[#This Row],[Term to Maturity (Years)]]*Table1[[#This Row],[Coupon Frequency2]]</f>
        <v>2</v>
      </c>
      <c r="U372">
        <f>Table1[[#This Row],[Face value]]*Table1[[#This Row],[Current coupon %]]/Table1[[#This Row],[Coupon Frequency2]]</f>
        <v>9250</v>
      </c>
      <c r="V372" s="23">
        <f>RATE(Table1[[#This Row],[Total No. of Coupons]],Table1[[#This Row],[Coupon Amount]],-Table1[[#This Row],[Ask Price]],Table1[[#This Row],[Face value]])</f>
        <v>9.2499999999999971E-2</v>
      </c>
      <c r="W372" s="24">
        <f>Table1[[#This Row],[IRR]]*Table1[[#This Row],[Coupon Frequency2]]</f>
        <v>9.2499999999999971E-2</v>
      </c>
      <c r="X372" s="25" cm="1">
        <f t="array" ref="X3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2" s="26">
        <f>DURATION(Table1[[#This Row],[Issue date]],Table1[[#This Row],[Maturity date]],Table1[[#This Row],[Current coupon %]],Table1[[#This Row],[Yield (Annualised)]],Table1[[#This Row],[Coupon Frequency2]])</f>
        <v>1.9153318077803203</v>
      </c>
      <c r="Z372" s="26">
        <f>Table1[[#This Row],[Macaulay Duration in Years]]/(1+Table1[[#This Row],[IRR]])</f>
        <v>1.7531641261147095</v>
      </c>
      <c r="AA372" s="27">
        <f>VLOOKUP(Table1[[#This Row],[Yield Cluster]],'[1]Cluster Details'!$B$3:$C$16,2,0)</f>
        <v>7.8548801574189142E-2</v>
      </c>
      <c r="AB372" s="28">
        <f>PRICE(Table1[[#This Row],[Issue date]],Table1[[#This Row],[Maturity date]],Table1[[#This Row],[Current coupon %]],Table1[[#This Row],[Average Cluster Yield]],100,Table1[[#This Row],[Coupon Frequency2]])*Table1[[#This Row],[Face value]]/100</f>
        <v>102492.82700112497</v>
      </c>
      <c r="AC372" s="27" t="str">
        <f>IF(Table1[[#This Row],[Ask Price]]&gt;Table1[[#This Row],[Calculated Bond Price]],"Rich","Cheap")</f>
        <v>Cheap</v>
      </c>
      <c r="AD372" s="28">
        <f>PRICE(Table1[[#This Row],[Issue date]],Table1[[#This Row],[Maturity date]],Table1[[#This Row],[Current coupon %]],Table1[[#This Row],[Yield (Annualised)]]+$AE$2,100,Table1[[#This Row],[Coupon Frequency2]])*Table1[[#This Row],[Face value]]/100</f>
        <v>98270.268046750047</v>
      </c>
      <c r="AE372" s="28">
        <f>PRICE(Table1[[#This Row],[Issue date]],Table1[[#This Row],[Maturity date]],Table1[[#This Row],[Current coupon %]],Table1[[#This Row],[Yield (Annualised)]]-$AE$2,100,Table1[[#This Row],[Coupon Frequency2]])*Table1[[#This Row],[Face value]]/100</f>
        <v>101777.17092736108</v>
      </c>
      <c r="AF372" s="28">
        <f>(Table1[[#This Row],[P (+ shock)]]+Table1[[#This Row],[P (-shock)]]-2*Table1[[#This Row],[Ask Price]])/(2*Table1[[#This Row],[Ask Price]]*($AE$2^2))</f>
        <v>2.3719487055554054</v>
      </c>
    </row>
    <row r="373" spans="1:32" x14ac:dyDescent="0.25">
      <c r="A373" s="21" t="s">
        <v>792</v>
      </c>
      <c r="B373" s="3" t="s">
        <v>793</v>
      </c>
      <c r="C373" s="3" t="s">
        <v>19</v>
      </c>
      <c r="D373" s="4">
        <v>42290</v>
      </c>
      <c r="E373" s="4">
        <v>45943</v>
      </c>
      <c r="F373" s="3">
        <v>1000000</v>
      </c>
      <c r="G373" s="3" t="s">
        <v>20</v>
      </c>
      <c r="H373" s="3">
        <v>1000000</v>
      </c>
      <c r="I373" s="3" t="s">
        <v>20</v>
      </c>
      <c r="J373" s="3">
        <v>100</v>
      </c>
      <c r="K373" s="3">
        <v>1</v>
      </c>
      <c r="L373" s="5">
        <v>9.2499999999999999E-2</v>
      </c>
      <c r="M373" s="3" t="s">
        <v>21</v>
      </c>
      <c r="N373" s="3">
        <v>26</v>
      </c>
      <c r="O373" s="6">
        <f>Table1[[#This Row],[Current coupon %]]*Table1[[#This Row],[Face value]]/Table1[[#This Row],[Ask Price]]</f>
        <v>9.2499999999999999E-2</v>
      </c>
      <c r="P373" s="3"/>
      <c r="Q373" s="3" t="s">
        <v>22</v>
      </c>
      <c r="R373">
        <f t="shared" si="5"/>
        <v>10</v>
      </c>
      <c r="S373" s="22" cm="1">
        <f t="array" ref="S373">_xlfn.IFS(Table1[[#This Row],[Coupon frequency]]="Semi-annual",2,Table1[[#This Row],[Coupon frequency]]="Quarterly",4,Table1[[#This Row],[Coupon frequency]]="Annual",1,Table1[[#This Row],[Coupon frequency]]="Every 4 months",3,Table1[[#This Row],[Coupon frequency]]="Monthly",12)</f>
        <v>1</v>
      </c>
      <c r="T373">
        <f>Table1[[#This Row],[Term to Maturity (Years)]]*Table1[[#This Row],[Coupon Frequency2]]</f>
        <v>10</v>
      </c>
      <c r="U373">
        <f>Table1[[#This Row],[Face value]]*Table1[[#This Row],[Current coupon %]]/Table1[[#This Row],[Coupon Frequency2]]</f>
        <v>92500</v>
      </c>
      <c r="V373" s="23">
        <f>RATE(Table1[[#This Row],[Total No. of Coupons]],Table1[[#This Row],[Coupon Amount]],-Table1[[#This Row],[Ask Price]],Table1[[#This Row],[Face value]])</f>
        <v>9.2499999999999999E-2</v>
      </c>
      <c r="W373" s="24">
        <f>Table1[[#This Row],[IRR]]*Table1[[#This Row],[Coupon Frequency2]]</f>
        <v>9.2499999999999999E-2</v>
      </c>
      <c r="X373" s="25" cm="1">
        <f t="array" ref="X37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3" s="26">
        <f>DURATION(Table1[[#This Row],[Issue date]],Table1[[#This Row],[Maturity date]],Table1[[#This Row],[Current coupon %]],Table1[[#This Row],[Yield (Annualised)]],Table1[[#This Row],[Coupon Frequency2]])</f>
        <v>6.9347933012766525</v>
      </c>
      <c r="Z373" s="26">
        <f>Table1[[#This Row],[Macaulay Duration in Years]]/(1+Table1[[#This Row],[IRR]])</f>
        <v>6.3476368890404142</v>
      </c>
      <c r="AA373" s="27">
        <f>VLOOKUP(Table1[[#This Row],[Yield Cluster]],'[1]Cluster Details'!$B$3:$C$16,2,0)</f>
        <v>7.8548801574189142E-2</v>
      </c>
      <c r="AB373" s="28">
        <f>PRICE(Table1[[#This Row],[Issue date]],Table1[[#This Row],[Maturity date]],Table1[[#This Row],[Current coupon %]],Table1[[#This Row],[Average Cluster Yield]],100,Table1[[#This Row],[Coupon Frequency2]])*Table1[[#This Row],[Face value]]/100</f>
        <v>1094229.5413236746</v>
      </c>
      <c r="AC373" s="27" t="str">
        <f>IF(Table1[[#This Row],[Ask Price]]&gt;Table1[[#This Row],[Calculated Bond Price]],"Rich","Cheap")</f>
        <v>Cheap</v>
      </c>
      <c r="AD373" s="28">
        <f>PRICE(Table1[[#This Row],[Issue date]],Table1[[#This Row],[Maturity date]],Table1[[#This Row],[Current coupon %]],Table1[[#This Row],[Yield (Annualised)]]+$AE$2,100,Table1[[#This Row],[Coupon Frequency2]])*Table1[[#This Row],[Face value]]/100</f>
        <v>939208.73003639013</v>
      </c>
      <c r="AE373" s="28">
        <f>PRICE(Table1[[#This Row],[Issue date]],Table1[[#This Row],[Maturity date]],Table1[[#This Row],[Current coupon %]],Table1[[#This Row],[Yield (Annualised)]]-$AE$2,100,Table1[[#This Row],[Coupon Frequency2]])*Table1[[#This Row],[Face value]]/100</f>
        <v>1066350.7066737148</v>
      </c>
      <c r="AF373" s="28">
        <f>(Table1[[#This Row],[P (+ shock)]]+Table1[[#This Row],[P (-shock)]]-2*Table1[[#This Row],[Ask Price]])/(2*Table1[[#This Row],[Ask Price]]*($AE$2^2))</f>
        <v>27.797183550524061</v>
      </c>
    </row>
    <row r="374" spans="1:32" x14ac:dyDescent="0.25">
      <c r="A374" s="21" t="s">
        <v>794</v>
      </c>
      <c r="B374" s="3" t="s">
        <v>795</v>
      </c>
      <c r="C374" s="3" t="s">
        <v>19</v>
      </c>
      <c r="D374" s="4">
        <v>45547</v>
      </c>
      <c r="E374" s="4">
        <v>46277</v>
      </c>
      <c r="F374" s="3">
        <v>1000</v>
      </c>
      <c r="G374" s="3" t="s">
        <v>20</v>
      </c>
      <c r="H374" s="3">
        <v>1000.13</v>
      </c>
      <c r="I374" s="3" t="s">
        <v>20</v>
      </c>
      <c r="J374" s="3">
        <v>100.012999999999</v>
      </c>
      <c r="K374" s="3">
        <v>11</v>
      </c>
      <c r="L374" s="5">
        <v>9.2499999999999999E-2</v>
      </c>
      <c r="M374" s="3" t="s">
        <v>21</v>
      </c>
      <c r="N374" s="3">
        <v>360</v>
      </c>
      <c r="O374" s="6">
        <f>Table1[[#This Row],[Current coupon %]]*Table1[[#This Row],[Face value]]/Table1[[#This Row],[Ask Price]]</f>
        <v>9.2487976563046803E-2</v>
      </c>
      <c r="P374" s="3"/>
      <c r="Q374" s="3" t="s">
        <v>22</v>
      </c>
      <c r="R374">
        <f t="shared" si="5"/>
        <v>2</v>
      </c>
      <c r="S374" s="22" cm="1">
        <f t="array" ref="S374">_xlfn.IFS(Table1[[#This Row],[Coupon frequency]]="Semi-annual",2,Table1[[#This Row],[Coupon frequency]]="Quarterly",4,Table1[[#This Row],[Coupon frequency]]="Annual",1,Table1[[#This Row],[Coupon frequency]]="Every 4 months",3,Table1[[#This Row],[Coupon frequency]]="Monthly",12)</f>
        <v>1</v>
      </c>
      <c r="T374">
        <f>Table1[[#This Row],[Term to Maturity (Years)]]*Table1[[#This Row],[Coupon Frequency2]]</f>
        <v>2</v>
      </c>
      <c r="U374">
        <f>Table1[[#This Row],[Face value]]*Table1[[#This Row],[Current coupon %]]/Table1[[#This Row],[Coupon Frequency2]]</f>
        <v>92.5</v>
      </c>
      <c r="V374" s="23">
        <f>RATE(Table1[[#This Row],[Total No. of Coupons]],Table1[[#This Row],[Coupon Amount]],-Table1[[#This Row],[Ask Price]],Table1[[#This Row],[Face value]])</f>
        <v>9.2425855794544168E-2</v>
      </c>
      <c r="W374" s="24">
        <f>Table1[[#This Row],[IRR]]*Table1[[#This Row],[Coupon Frequency2]]</f>
        <v>9.2425855794544168E-2</v>
      </c>
      <c r="X374" s="25" cm="1">
        <f t="array" ref="X37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4" s="26">
        <f>DURATION(Table1[[#This Row],[Issue date]],Table1[[#This Row],[Maturity date]],Table1[[#This Row],[Current coupon %]],Table1[[#This Row],[Yield (Annualised)]],Table1[[#This Row],[Coupon Frequency2]])</f>
        <v>1.9153370674334886</v>
      </c>
      <c r="Z374" s="26">
        <f>Table1[[#This Row],[Macaulay Duration in Years]]/(1+Table1[[#This Row],[IRR]])</f>
        <v>1.7532879300448487</v>
      </c>
      <c r="AA374" s="27">
        <f>VLOOKUP(Table1[[#This Row],[Yield Cluster]],'[1]Cluster Details'!$B$3:$C$16,2,0)</f>
        <v>7.8548801574189142E-2</v>
      </c>
      <c r="AB374" s="28">
        <f>PRICE(Table1[[#This Row],[Issue date]],Table1[[#This Row],[Maturity date]],Table1[[#This Row],[Current coupon %]],Table1[[#This Row],[Average Cluster Yield]],100,Table1[[#This Row],[Coupon Frequency2]])*Table1[[#This Row],[Face value]]/100</f>
        <v>1024.9282700112499</v>
      </c>
      <c r="AC374" s="27" t="str">
        <f>IF(Table1[[#This Row],[Ask Price]]&gt;Table1[[#This Row],[Calculated Bond Price]],"Rich","Cheap")</f>
        <v>Cheap</v>
      </c>
      <c r="AD374" s="28">
        <f>PRICE(Table1[[#This Row],[Issue date]],Table1[[#This Row],[Maturity date]],Table1[[#This Row],[Current coupon %]],Table1[[#This Row],[Yield (Annualised)]]+$AE$2,100,Table1[[#This Row],[Coupon Frequency2]])*Table1[[#This Row],[Face value]]/100</f>
        <v>982.82922610725961</v>
      </c>
      <c r="AE374" s="28">
        <f>PRICE(Table1[[#This Row],[Issue date]],Table1[[#This Row],[Maturity date]],Table1[[#This Row],[Current coupon %]],Table1[[#This Row],[Yield (Annualised)]]-$AE$2,100,Table1[[#This Row],[Coupon Frequency2]])*Table1[[#This Row],[Face value]]/100</f>
        <v>1017.9052914821701</v>
      </c>
      <c r="AF374" s="28">
        <f>(Table1[[#This Row],[P (+ shock)]]+Table1[[#This Row],[P (-shock)]]-2*Table1[[#This Row],[Ask Price]])/(2*Table1[[#This Row],[Ask Price]]*($AE$2^2))</f>
        <v>2.3722795508071539</v>
      </c>
    </row>
    <row r="375" spans="1:32" x14ac:dyDescent="0.25">
      <c r="A375" s="21" t="s">
        <v>796</v>
      </c>
      <c r="B375" s="3" t="s">
        <v>797</v>
      </c>
      <c r="C375" s="3" t="s">
        <v>19</v>
      </c>
      <c r="D375" s="4">
        <v>45048</v>
      </c>
      <c r="E375" s="4">
        <v>46875</v>
      </c>
      <c r="F375" s="3">
        <v>1000</v>
      </c>
      <c r="G375" s="3" t="s">
        <v>20</v>
      </c>
      <c r="H375" s="3">
        <v>989.5</v>
      </c>
      <c r="I375" s="3" t="s">
        <v>20</v>
      </c>
      <c r="J375" s="3">
        <v>98.95</v>
      </c>
      <c r="K375" s="3">
        <v>20</v>
      </c>
      <c r="L375" s="5">
        <v>9.1499999999999998E-2</v>
      </c>
      <c r="M375" s="3" t="s">
        <v>21</v>
      </c>
      <c r="N375" s="3">
        <v>958</v>
      </c>
      <c r="O375" s="6">
        <f>Table1[[#This Row],[Current coupon %]]*Table1[[#This Row],[Face value]]/Table1[[#This Row],[Ask Price]]</f>
        <v>9.2470944921677609E-2</v>
      </c>
      <c r="P375" s="3"/>
      <c r="Q375" s="3" t="s">
        <v>22</v>
      </c>
      <c r="R375">
        <f t="shared" si="5"/>
        <v>5</v>
      </c>
      <c r="S375" s="22" cm="1">
        <f t="array" ref="S375">_xlfn.IFS(Table1[[#This Row],[Coupon frequency]]="Semi-annual",2,Table1[[#This Row],[Coupon frequency]]="Quarterly",4,Table1[[#This Row],[Coupon frequency]]="Annual",1,Table1[[#This Row],[Coupon frequency]]="Every 4 months",3,Table1[[#This Row],[Coupon frequency]]="Monthly",12)</f>
        <v>1</v>
      </c>
      <c r="T375">
        <f>Table1[[#This Row],[Term to Maturity (Years)]]*Table1[[#This Row],[Coupon Frequency2]]</f>
        <v>5</v>
      </c>
      <c r="U375">
        <f>Table1[[#This Row],[Face value]]*Table1[[#This Row],[Current coupon %]]/Table1[[#This Row],[Coupon Frequency2]]</f>
        <v>91.5</v>
      </c>
      <c r="V375" s="23">
        <f>RATE(Table1[[#This Row],[Total No. of Coupons]],Table1[[#This Row],[Coupon Amount]],-Table1[[#This Row],[Ask Price]],Table1[[#This Row],[Face value]])</f>
        <v>9.4229157533223515E-2</v>
      </c>
      <c r="W375" s="24">
        <f>Table1[[#This Row],[IRR]]*Table1[[#This Row],[Coupon Frequency2]]</f>
        <v>9.4229157533223515E-2</v>
      </c>
      <c r="X375" s="25" cm="1">
        <f t="array" ref="X37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5" s="26">
        <f>DURATION(Table1[[#This Row],[Issue date]],Table1[[#This Row],[Maturity date]],Table1[[#This Row],[Current coupon %]],Table1[[#This Row],[Yield (Annualised)]],Table1[[#This Row],[Coupon Frequency2]])</f>
        <v>4.2246157376223037</v>
      </c>
      <c r="Z375" s="26">
        <f>Table1[[#This Row],[Macaulay Duration in Years]]/(1+Table1[[#This Row],[IRR]])</f>
        <v>3.8608144450711497</v>
      </c>
      <c r="AA375" s="27">
        <f>VLOOKUP(Table1[[#This Row],[Yield Cluster]],'[1]Cluster Details'!$B$3:$C$16,2,0)</f>
        <v>7.8548801574189142E-2</v>
      </c>
      <c r="AB375" s="28">
        <f>PRICE(Table1[[#This Row],[Issue date]],Table1[[#This Row],[Maturity date]],Table1[[#This Row],[Current coupon %]],Table1[[#This Row],[Average Cluster Yield]],100,Table1[[#This Row],[Coupon Frequency2]])*Table1[[#This Row],[Face value]]/100</f>
        <v>1051.9087677102332</v>
      </c>
      <c r="AC375" s="27" t="str">
        <f>IF(Table1[[#This Row],[Ask Price]]&gt;Table1[[#This Row],[Calculated Bond Price]],"Rich","Cheap")</f>
        <v>Cheap</v>
      </c>
      <c r="AD375" s="28">
        <f>PRICE(Table1[[#This Row],[Issue date]],Table1[[#This Row],[Maturity date]],Table1[[#This Row],[Current coupon %]],Table1[[#This Row],[Yield (Annualised)]]+$AE$2,100,Table1[[#This Row],[Coupon Frequency2]])*Table1[[#This Row],[Face value]]/100</f>
        <v>952.26332244979653</v>
      </c>
      <c r="AE375" s="28">
        <f>PRICE(Table1[[#This Row],[Issue date]],Table1[[#This Row],[Maturity date]],Table1[[#This Row],[Current coupon %]],Table1[[#This Row],[Yield (Annualised)]]-$AE$2,100,Table1[[#This Row],[Coupon Frequency2]])*Table1[[#This Row],[Face value]]/100</f>
        <v>1028.7096365842135</v>
      </c>
      <c r="AF375" s="28">
        <f>(Table1[[#This Row],[P (+ shock)]]+Table1[[#This Row],[P (-shock)]]-2*Table1[[#This Row],[Ask Price]])/(2*Table1[[#This Row],[Ask Price]]*($AE$2^2))</f>
        <v>9.9694746539163503</v>
      </c>
    </row>
    <row r="376" spans="1:32" x14ac:dyDescent="0.25">
      <c r="A376" s="21" t="s">
        <v>798</v>
      </c>
      <c r="B376" s="3" t="s">
        <v>799</v>
      </c>
      <c r="C376" s="3" t="s">
        <v>19</v>
      </c>
      <c r="D376" s="4">
        <v>45348</v>
      </c>
      <c r="E376" s="4">
        <v>48999</v>
      </c>
      <c r="F376" s="3">
        <v>100000</v>
      </c>
      <c r="G376" s="3" t="s">
        <v>20</v>
      </c>
      <c r="H376" s="3">
        <v>103850</v>
      </c>
      <c r="I376" s="3" t="s">
        <v>20</v>
      </c>
      <c r="J376" s="3">
        <v>103.85</v>
      </c>
      <c r="K376" s="3">
        <v>5</v>
      </c>
      <c r="L376" s="5">
        <v>9.6000000000000002E-2</v>
      </c>
      <c r="M376" s="3" t="s">
        <v>21</v>
      </c>
      <c r="N376" s="3">
        <v>3082</v>
      </c>
      <c r="O376" s="6">
        <f>Table1[[#This Row],[Current coupon %]]*Table1[[#This Row],[Face value]]/Table1[[#This Row],[Ask Price]]</f>
        <v>9.244102070293693E-2</v>
      </c>
      <c r="P376" s="3"/>
      <c r="Q376" s="3" t="s">
        <v>22</v>
      </c>
      <c r="R376">
        <f t="shared" si="5"/>
        <v>10</v>
      </c>
      <c r="S376" s="22" cm="1">
        <f t="array" ref="S376">_xlfn.IFS(Table1[[#This Row],[Coupon frequency]]="Semi-annual",2,Table1[[#This Row],[Coupon frequency]]="Quarterly",4,Table1[[#This Row],[Coupon frequency]]="Annual",1,Table1[[#This Row],[Coupon frequency]]="Every 4 months",3,Table1[[#This Row],[Coupon frequency]]="Monthly",12)</f>
        <v>1</v>
      </c>
      <c r="T376">
        <f>Table1[[#This Row],[Term to Maturity (Years)]]*Table1[[#This Row],[Coupon Frequency2]]</f>
        <v>10</v>
      </c>
      <c r="U376">
        <f>Table1[[#This Row],[Face value]]*Table1[[#This Row],[Current coupon %]]/Table1[[#This Row],[Coupon Frequency2]]</f>
        <v>9600</v>
      </c>
      <c r="V376" s="23">
        <f>RATE(Table1[[#This Row],[Total No. of Coupons]],Table1[[#This Row],[Coupon Amount]],-Table1[[#This Row],[Ask Price]],Table1[[#This Row],[Face value]])</f>
        <v>9.000090270204443E-2</v>
      </c>
      <c r="W376" s="24">
        <f>Table1[[#This Row],[IRR]]*Table1[[#This Row],[Coupon Frequency2]]</f>
        <v>9.000090270204443E-2</v>
      </c>
      <c r="X376" s="25" cm="1">
        <f t="array" ref="X37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6" s="26">
        <f>DURATION(Table1[[#This Row],[Issue date]],Table1[[#This Row],[Maturity date]],Table1[[#This Row],[Current coupon %]],Table1[[#This Row],[Yield (Annualised)]],Table1[[#This Row],[Coupon Frequency2]])</f>
        <v>6.9082034231085512</v>
      </c>
      <c r="Z376" s="26">
        <f>Table1[[#This Row],[Macaulay Duration in Years]]/(1+Table1[[#This Row],[IRR]])</f>
        <v>6.3377960568505438</v>
      </c>
      <c r="AA376" s="27">
        <f>VLOOKUP(Table1[[#This Row],[Yield Cluster]],'[1]Cluster Details'!$B$3:$C$16,2,0)</f>
        <v>7.8548801574189142E-2</v>
      </c>
      <c r="AB376" s="28">
        <f>PRICE(Table1[[#This Row],[Issue date]],Table1[[#This Row],[Maturity date]],Table1[[#This Row],[Current coupon %]],Table1[[#This Row],[Average Cluster Yield]],100,Table1[[#This Row],[Coupon Frequency2]])*Table1[[#This Row],[Face value]]/100</f>
        <v>111780.5703372829</v>
      </c>
      <c r="AC376" s="27" t="str">
        <f>IF(Table1[[#This Row],[Ask Price]]&gt;Table1[[#This Row],[Calculated Bond Price]],"Rich","Cheap")</f>
        <v>Cheap</v>
      </c>
      <c r="AD376" s="28">
        <f>PRICE(Table1[[#This Row],[Issue date]],Table1[[#This Row],[Maturity date]],Table1[[#This Row],[Current coupon %]],Table1[[#This Row],[Yield (Annualised)]]+$AE$2,100,Table1[[#This Row],[Coupon Frequency2]])*Table1[[#This Row],[Face value]]/100</f>
        <v>97539.957197129042</v>
      </c>
      <c r="AE376" s="28">
        <f>PRICE(Table1[[#This Row],[Issue date]],Table1[[#This Row],[Maturity date]],Table1[[#This Row],[Current coupon %]],Table1[[#This Row],[Yield (Annualised)]]-$AE$2,100,Table1[[#This Row],[Coupon Frequency2]])*Table1[[#This Row],[Face value]]/100</f>
        <v>110729.50432185015</v>
      </c>
      <c r="AF376" s="28">
        <f>(Table1[[#This Row],[P (+ shock)]]+Table1[[#This Row],[P (-shock)]]-2*Table1[[#This Row],[Ask Price]])/(2*Table1[[#This Row],[Ask Price]]*($AE$2^2))</f>
        <v>27.417502117438364</v>
      </c>
    </row>
    <row r="377" spans="1:32" x14ac:dyDescent="0.25">
      <c r="A377" s="21" t="s">
        <v>800</v>
      </c>
      <c r="B377" s="3" t="s">
        <v>801</v>
      </c>
      <c r="C377" s="3" t="s">
        <v>19</v>
      </c>
      <c r="D377" s="4">
        <v>45595</v>
      </c>
      <c r="E377" s="4">
        <v>46690</v>
      </c>
      <c r="F377" s="3">
        <v>1000</v>
      </c>
      <c r="G377" s="3" t="s">
        <v>20</v>
      </c>
      <c r="H377" s="3">
        <v>1044.75</v>
      </c>
      <c r="I377" s="3" t="s">
        <v>20</v>
      </c>
      <c r="J377" s="3">
        <v>104.47499999999999</v>
      </c>
      <c r="K377" s="3">
        <v>8</v>
      </c>
      <c r="L377" s="5">
        <v>9.6500000000000002E-2</v>
      </c>
      <c r="M377" s="3" t="s">
        <v>21</v>
      </c>
      <c r="N377" s="3">
        <v>773</v>
      </c>
      <c r="O377" s="6">
        <f>Table1[[#This Row],[Current coupon %]]*Table1[[#This Row],[Face value]]/Table1[[#This Row],[Ask Price]]</f>
        <v>9.2366594879157687E-2</v>
      </c>
      <c r="P377" s="3"/>
      <c r="Q377" s="3" t="s">
        <v>22</v>
      </c>
      <c r="R377">
        <f t="shared" si="5"/>
        <v>3</v>
      </c>
      <c r="S377" s="22" cm="1">
        <f t="array" ref="S377">_xlfn.IFS(Table1[[#This Row],[Coupon frequency]]="Semi-annual",2,Table1[[#This Row],[Coupon frequency]]="Quarterly",4,Table1[[#This Row],[Coupon frequency]]="Annual",1,Table1[[#This Row],[Coupon frequency]]="Every 4 months",3,Table1[[#This Row],[Coupon frequency]]="Monthly",12)</f>
        <v>1</v>
      </c>
      <c r="T377">
        <f>Table1[[#This Row],[Term to Maturity (Years)]]*Table1[[#This Row],[Coupon Frequency2]]</f>
        <v>3</v>
      </c>
      <c r="U377">
        <f>Table1[[#This Row],[Face value]]*Table1[[#This Row],[Current coupon %]]/Table1[[#This Row],[Coupon Frequency2]]</f>
        <v>96.5</v>
      </c>
      <c r="V377" s="23">
        <f>RATE(Table1[[#This Row],[Total No. of Coupons]],Table1[[#This Row],[Coupon Amount]],-Table1[[#This Row],[Ask Price]],Table1[[#This Row],[Face value]])</f>
        <v>7.9161758147734837E-2</v>
      </c>
      <c r="W377" s="24">
        <f>Table1[[#This Row],[IRR]]*Table1[[#This Row],[Coupon Frequency2]]</f>
        <v>7.9161758147734837E-2</v>
      </c>
      <c r="X377" s="25" cm="1">
        <f t="array" ref="X37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7" s="26">
        <f>DURATION(Table1[[#This Row],[Issue date]],Table1[[#This Row],[Maturity date]],Table1[[#This Row],[Current coupon %]],Table1[[#This Row],[Yield (Annualised)]],Table1[[#This Row],[Coupon Frequency2]])</f>
        <v>2.7495053507111589</v>
      </c>
      <c r="Z377" s="26">
        <f>Table1[[#This Row],[Macaulay Duration in Years]]/(1+Table1[[#This Row],[IRR]])</f>
        <v>2.5478157745604229</v>
      </c>
      <c r="AA377" s="27">
        <f>VLOOKUP(Table1[[#This Row],[Yield Cluster]],'[1]Cluster Details'!$B$3:$C$16,2,0)</f>
        <v>7.8548801574189142E-2</v>
      </c>
      <c r="AB377" s="28">
        <f>PRICE(Table1[[#This Row],[Issue date]],Table1[[#This Row],[Maturity date]],Table1[[#This Row],[Current coupon %]],Table1[[#This Row],[Average Cluster Yield]],100,Table1[[#This Row],[Coupon Frequency2]])*Table1[[#This Row],[Face value]]/100</f>
        <v>1046.3833860773871</v>
      </c>
      <c r="AC377" s="27" t="str">
        <f>IF(Table1[[#This Row],[Ask Price]]&gt;Table1[[#This Row],[Calculated Bond Price]],"Rich","Cheap")</f>
        <v>Cheap</v>
      </c>
      <c r="AD377" s="28">
        <f>PRICE(Table1[[#This Row],[Issue date]],Table1[[#This Row],[Maturity date]],Table1[[#This Row],[Current coupon %]],Table1[[#This Row],[Yield (Annualised)]]+$AE$2,100,Table1[[#This Row],[Coupon Frequency2]])*Table1[[#This Row],[Face value]]/100</f>
        <v>1018.6030376897245</v>
      </c>
      <c r="AE377" s="28">
        <f>PRICE(Table1[[#This Row],[Issue date]],Table1[[#This Row],[Maturity date]],Table1[[#This Row],[Current coupon %]],Table1[[#This Row],[Yield (Annualised)]]-$AE$2,100,Table1[[#This Row],[Coupon Frequency2]])*Table1[[#This Row],[Face value]]/100</f>
        <v>1071.8542047909873</v>
      </c>
      <c r="AF377" s="28">
        <f>(Table1[[#This Row],[P (+ shock)]]+Table1[[#This Row],[P (-shock)]]-2*Table1[[#This Row],[Ask Price]])/(2*Table1[[#This Row],[Ask Price]]*($AE$2^2))</f>
        <v>4.5812035449246782</v>
      </c>
    </row>
    <row r="378" spans="1:32" x14ac:dyDescent="0.25">
      <c r="A378" s="21" t="s">
        <v>802</v>
      </c>
      <c r="B378" s="3" t="s">
        <v>803</v>
      </c>
      <c r="C378" s="3" t="s">
        <v>19</v>
      </c>
      <c r="D378" s="4">
        <v>45309</v>
      </c>
      <c r="E378" s="4">
        <v>46405</v>
      </c>
      <c r="F378" s="3">
        <v>1000</v>
      </c>
      <c r="G378" s="3" t="s">
        <v>20</v>
      </c>
      <c r="H378" s="3">
        <v>1041</v>
      </c>
      <c r="I378" s="3" t="s">
        <v>20</v>
      </c>
      <c r="J378" s="3">
        <v>104.1</v>
      </c>
      <c r="K378" s="3">
        <v>11</v>
      </c>
      <c r="L378" s="5">
        <v>9.6099999999999991E-2</v>
      </c>
      <c r="M378" s="3" t="s">
        <v>21</v>
      </c>
      <c r="N378" s="3">
        <v>488</v>
      </c>
      <c r="O378" s="6">
        <f>Table1[[#This Row],[Current coupon %]]*Table1[[#This Row],[Face value]]/Table1[[#This Row],[Ask Price]]</f>
        <v>9.2315081652257436E-2</v>
      </c>
      <c r="P378" s="3"/>
      <c r="Q378" s="3" t="s">
        <v>22</v>
      </c>
      <c r="R378">
        <f t="shared" si="5"/>
        <v>3</v>
      </c>
      <c r="S378" s="22" cm="1">
        <f t="array" ref="S378">_xlfn.IFS(Table1[[#This Row],[Coupon frequency]]="Semi-annual",2,Table1[[#This Row],[Coupon frequency]]="Quarterly",4,Table1[[#This Row],[Coupon frequency]]="Annual",1,Table1[[#This Row],[Coupon frequency]]="Every 4 months",3,Table1[[#This Row],[Coupon frequency]]="Monthly",12)</f>
        <v>1</v>
      </c>
      <c r="T378">
        <f>Table1[[#This Row],[Term to Maturity (Years)]]*Table1[[#This Row],[Coupon Frequency2]]</f>
        <v>3</v>
      </c>
      <c r="U378">
        <f>Table1[[#This Row],[Face value]]*Table1[[#This Row],[Current coupon %]]/Table1[[#This Row],[Coupon Frequency2]]</f>
        <v>96.1</v>
      </c>
      <c r="V378" s="23">
        <f>RATE(Table1[[#This Row],[Total No. of Coupons]],Table1[[#This Row],[Coupon Amount]],-Table1[[#This Row],[Ask Price]],Table1[[#This Row],[Face value]])</f>
        <v>8.0185306111496935E-2</v>
      </c>
      <c r="W378" s="24">
        <f>Table1[[#This Row],[IRR]]*Table1[[#This Row],[Coupon Frequency2]]</f>
        <v>8.0185306111496935E-2</v>
      </c>
      <c r="X378" s="25" cm="1">
        <f t="array" ref="X37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8" s="26">
        <f>DURATION(Table1[[#This Row],[Issue date]],Table1[[#This Row],[Maturity date]],Table1[[#This Row],[Current coupon %]],Table1[[#This Row],[Yield (Annualised)]],Table1[[#This Row],[Coupon Frequency2]])</f>
        <v>2.7499573215449362</v>
      </c>
      <c r="Z378" s="26">
        <f>Table1[[#This Row],[Macaulay Duration in Years]]/(1+Table1[[#This Row],[IRR]])</f>
        <v>2.5458199680982192</v>
      </c>
      <c r="AA378" s="27">
        <f>VLOOKUP(Table1[[#This Row],[Yield Cluster]],'[1]Cluster Details'!$B$3:$C$16,2,0)</f>
        <v>7.8548801574189142E-2</v>
      </c>
      <c r="AB378" s="28">
        <f>PRICE(Table1[[#This Row],[Issue date]],Table1[[#This Row],[Maturity date]],Table1[[#This Row],[Current coupon %]],Table1[[#This Row],[Average Cluster Yield]],100,Table1[[#This Row],[Coupon Frequency2]])*Table1[[#This Row],[Face value]]/100</f>
        <v>1045.3498420213937</v>
      </c>
      <c r="AC378" s="27" t="str">
        <f>IF(Table1[[#This Row],[Ask Price]]&gt;Table1[[#This Row],[Calculated Bond Price]],"Rich","Cheap")</f>
        <v>Cheap</v>
      </c>
      <c r="AD378" s="28">
        <f>PRICE(Table1[[#This Row],[Issue date]],Table1[[#This Row],[Maturity date]],Table1[[#This Row],[Current coupon %]],Table1[[#This Row],[Yield (Annualised)]]+$AE$2,100,Table1[[#This Row],[Coupon Frequency2]])*Table1[[#This Row],[Face value]]/100</f>
        <v>1014.9668899310122</v>
      </c>
      <c r="AE378" s="28">
        <f>PRICE(Table1[[#This Row],[Issue date]],Table1[[#This Row],[Maturity date]],Table1[[#This Row],[Current coupon %]],Table1[[#This Row],[Yield (Annualised)]]-$AE$2,100,Table1[[#This Row],[Coupon Frequency2]])*Table1[[#This Row],[Face value]]/100</f>
        <v>1067.9853285550964</v>
      </c>
      <c r="AF378" s="28">
        <f>(Table1[[#This Row],[P (+ shock)]]+Table1[[#This Row],[P (-shock)]]-2*Table1[[#This Row],[Ask Price]])/(2*Table1[[#This Row],[Ask Price]]*($AE$2^2))</f>
        <v>4.573575821848725</v>
      </c>
    </row>
    <row r="379" spans="1:32" x14ac:dyDescent="0.25">
      <c r="A379" s="21" t="s">
        <v>804</v>
      </c>
      <c r="B379" s="3" t="s">
        <v>805</v>
      </c>
      <c r="C379" s="3" t="s">
        <v>19</v>
      </c>
      <c r="D379" s="4">
        <v>42639</v>
      </c>
      <c r="E379" s="4">
        <v>46291</v>
      </c>
      <c r="F379" s="3">
        <v>1000</v>
      </c>
      <c r="G379" s="3" t="s">
        <v>20</v>
      </c>
      <c r="H379" s="3">
        <v>974.99</v>
      </c>
      <c r="I379" s="3" t="s">
        <v>20</v>
      </c>
      <c r="J379" s="3">
        <v>97.498999999999995</v>
      </c>
      <c r="K379" s="3">
        <v>1382</v>
      </c>
      <c r="L379" s="5">
        <v>0.09</v>
      </c>
      <c r="M379" s="3" t="s">
        <v>21</v>
      </c>
      <c r="N379" s="3">
        <v>374</v>
      </c>
      <c r="O379" s="6">
        <f>Table1[[#This Row],[Current coupon %]]*Table1[[#This Row],[Face value]]/Table1[[#This Row],[Ask Price]]</f>
        <v>9.2308639062964742E-2</v>
      </c>
      <c r="P379" s="3" t="s">
        <v>25</v>
      </c>
      <c r="Q379" s="3" t="s">
        <v>22</v>
      </c>
      <c r="R379">
        <f t="shared" si="5"/>
        <v>10</v>
      </c>
      <c r="S379" s="22" cm="1">
        <f t="array" ref="S379">_xlfn.IFS(Table1[[#This Row],[Coupon frequency]]="Semi-annual",2,Table1[[#This Row],[Coupon frequency]]="Quarterly",4,Table1[[#This Row],[Coupon frequency]]="Annual",1,Table1[[#This Row],[Coupon frequency]]="Every 4 months",3,Table1[[#This Row],[Coupon frequency]]="Monthly",12)</f>
        <v>1</v>
      </c>
      <c r="T379">
        <f>Table1[[#This Row],[Term to Maturity (Years)]]*Table1[[#This Row],[Coupon Frequency2]]</f>
        <v>10</v>
      </c>
      <c r="U379">
        <f>Table1[[#This Row],[Face value]]*Table1[[#This Row],[Current coupon %]]/Table1[[#This Row],[Coupon Frequency2]]</f>
        <v>90</v>
      </c>
      <c r="V379" s="23">
        <f>RATE(Table1[[#This Row],[Total No. of Coupons]],Table1[[#This Row],[Coupon Amount]],-Table1[[#This Row],[Ask Price]],Table1[[#This Row],[Face value]])</f>
        <v>9.3965343363360626E-2</v>
      </c>
      <c r="W379" s="24">
        <f>Table1[[#This Row],[IRR]]*Table1[[#This Row],[Coupon Frequency2]]</f>
        <v>9.3965343363360626E-2</v>
      </c>
      <c r="X379" s="25" cm="1">
        <f t="array" ref="X37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79" s="26">
        <f>DURATION(Table1[[#This Row],[Issue date]],Table1[[#This Row],[Maturity date]],Table1[[#This Row],[Current coupon %]],Table1[[#This Row],[Yield (Annualised)]],Table1[[#This Row],[Coupon Frequency2]])</f>
        <v>6.9544589517552096</v>
      </c>
      <c r="Z379" s="26">
        <f>Table1[[#This Row],[Macaulay Duration in Years]]/(1+Table1[[#This Row],[IRR]])</f>
        <v>6.3571108481132983</v>
      </c>
      <c r="AA379" s="27">
        <f>VLOOKUP(Table1[[#This Row],[Yield Cluster]],'[1]Cluster Details'!$B$3:$C$16,2,0)</f>
        <v>7.8548801574189142E-2</v>
      </c>
      <c r="AB379" s="28">
        <f>PRICE(Table1[[#This Row],[Issue date]],Table1[[#This Row],[Maturity date]],Table1[[#This Row],[Current coupon %]],Table1[[#This Row],[Average Cluster Yield]],100,Table1[[#This Row],[Coupon Frequency2]])*Table1[[#This Row],[Face value]]/100</f>
        <v>1077.3439773657171</v>
      </c>
      <c r="AC379" s="27" t="str">
        <f>IF(Table1[[#This Row],[Ask Price]]&gt;Table1[[#This Row],[Calculated Bond Price]],"Rich","Cheap")</f>
        <v>Cheap</v>
      </c>
      <c r="AD379" s="28">
        <f>PRICE(Table1[[#This Row],[Issue date]],Table1[[#This Row],[Maturity date]],Table1[[#This Row],[Current coupon %]],Table1[[#This Row],[Yield (Annualised)]]+$AE$2,100,Table1[[#This Row],[Coupon Frequency2]])*Table1[[#This Row],[Face value]]/100</f>
        <v>915.63150182569666</v>
      </c>
      <c r="AE379" s="28">
        <f>PRICE(Table1[[#This Row],[Issue date]],Table1[[#This Row],[Maturity date]],Table1[[#This Row],[Current coupon %]],Table1[[#This Row],[Yield (Annualised)]]-$AE$2,100,Table1[[#This Row],[Coupon Frequency2]])*Table1[[#This Row],[Face value]]/100</f>
        <v>1039.778674144693</v>
      </c>
      <c r="AF379" s="28">
        <f>(Table1[[#This Row],[P (+ shock)]]+Table1[[#This Row],[P (-shock)]]-2*Table1[[#This Row],[Ask Price]])/(2*Table1[[#This Row],[Ask Price]]*($AE$2^2))</f>
        <v>27.847341872171278</v>
      </c>
    </row>
    <row r="380" spans="1:32" x14ac:dyDescent="0.25">
      <c r="A380" s="21" t="s">
        <v>806</v>
      </c>
      <c r="B380" s="3" t="s">
        <v>807</v>
      </c>
      <c r="C380" s="3" t="s">
        <v>19</v>
      </c>
      <c r="D380" s="4">
        <v>45681</v>
      </c>
      <c r="E380" s="4">
        <v>46411</v>
      </c>
      <c r="F380" s="3">
        <v>1000</v>
      </c>
      <c r="G380" s="3" t="s">
        <v>20</v>
      </c>
      <c r="H380" s="3">
        <v>1025</v>
      </c>
      <c r="I380" s="3" t="s">
        <v>20</v>
      </c>
      <c r="J380" s="3">
        <v>102.49999999999901</v>
      </c>
      <c r="K380" s="3">
        <v>200</v>
      </c>
      <c r="L380" s="5">
        <v>9.5000000000000001E-2</v>
      </c>
      <c r="M380" s="3" t="s">
        <v>21</v>
      </c>
      <c r="N380" s="3">
        <v>494</v>
      </c>
      <c r="O380" s="6">
        <f>Table1[[#This Row],[Current coupon %]]*Table1[[#This Row],[Face value]]/Table1[[#This Row],[Ask Price]]</f>
        <v>9.2682926829268292E-2</v>
      </c>
      <c r="P380" s="3"/>
      <c r="Q380" s="3" t="s">
        <v>22</v>
      </c>
      <c r="R380">
        <f t="shared" si="5"/>
        <v>2</v>
      </c>
      <c r="S380" s="22" cm="1">
        <f t="array" ref="S380">_xlfn.IFS(Table1[[#This Row],[Coupon frequency]]="Semi-annual",2,Table1[[#This Row],[Coupon frequency]]="Quarterly",4,Table1[[#This Row],[Coupon frequency]]="Annual",1,Table1[[#This Row],[Coupon frequency]]="Every 4 months",3,Table1[[#This Row],[Coupon frequency]]="Monthly",12)</f>
        <v>1</v>
      </c>
      <c r="T380">
        <f>Table1[[#This Row],[Term to Maturity (Years)]]*Table1[[#This Row],[Coupon Frequency2]]</f>
        <v>2</v>
      </c>
      <c r="U380">
        <f>Table1[[#This Row],[Face value]]*Table1[[#This Row],[Current coupon %]]/Table1[[#This Row],[Coupon Frequency2]]</f>
        <v>95</v>
      </c>
      <c r="V380" s="23">
        <f>RATE(Table1[[#This Row],[Total No. of Coupons]],Table1[[#This Row],[Coupon Amount]],-Table1[[#This Row],[Ask Price]],Table1[[#This Row],[Face value]])</f>
        <v>8.0962270357080784E-2</v>
      </c>
      <c r="W380" s="24">
        <f>Table1[[#This Row],[IRR]]*Table1[[#This Row],[Coupon Frequency2]]</f>
        <v>8.0962270357080784E-2</v>
      </c>
      <c r="X380" s="25" cm="1">
        <f t="array" ref="X38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0" s="26">
        <f>DURATION(Table1[[#This Row],[Issue date]],Table1[[#This Row],[Maturity date]],Table1[[#This Row],[Current coupon %]],Table1[[#This Row],[Yield (Annualised)]],Table1[[#This Row],[Coupon Frequency2]])</f>
        <v>1.9142588697395961</v>
      </c>
      <c r="Z380" s="26">
        <f>Table1[[#This Row],[Macaulay Duration in Years]]/(1+Table1[[#This Row],[IRR]])</f>
        <v>1.7708840745267156</v>
      </c>
      <c r="AA380" s="27">
        <f>VLOOKUP(Table1[[#This Row],[Yield Cluster]],'[1]Cluster Details'!$B$3:$C$16,2,0)</f>
        <v>7.8548801574189142E-2</v>
      </c>
      <c r="AB380" s="28">
        <f>PRICE(Table1[[#This Row],[Issue date]],Table1[[#This Row],[Maturity date]],Table1[[#This Row],[Current coupon %]],Table1[[#This Row],[Average Cluster Yield]],100,Table1[[#This Row],[Coupon Frequency2]])*Table1[[#This Row],[Face value]]/100</f>
        <v>1029.3953181547861</v>
      </c>
      <c r="AC380" s="27" t="str">
        <f>IF(Table1[[#This Row],[Ask Price]]&gt;Table1[[#This Row],[Calculated Bond Price]],"Rich","Cheap")</f>
        <v>Cheap</v>
      </c>
      <c r="AD380" s="28">
        <f>PRICE(Table1[[#This Row],[Issue date]],Table1[[#This Row],[Maturity date]],Table1[[#This Row],[Current coupon %]],Table1[[#This Row],[Yield (Annualised)]]+$AE$2,100,Table1[[#This Row],[Coupon Frequency2]])*Table1[[#This Row],[Face value]]/100</f>
        <v>1007.0935554846048</v>
      </c>
      <c r="AE380" s="28">
        <f>PRICE(Table1[[#This Row],[Issue date]],Table1[[#This Row],[Maturity date]],Table1[[#This Row],[Current coupon %]],Table1[[#This Row],[Yield (Annualised)]]-$AE$2,100,Table1[[#This Row],[Coupon Frequency2]])*Table1[[#This Row],[Face value]]/100</f>
        <v>1043.4027543650077</v>
      </c>
      <c r="AF380" s="28">
        <f>(Table1[[#This Row],[P (+ shock)]]+Table1[[#This Row],[P (-shock)]]-2*Table1[[#This Row],[Ask Price]])/(2*Table1[[#This Row],[Ask Price]]*($AE$2^2))</f>
        <v>2.4210236566476651</v>
      </c>
    </row>
    <row r="381" spans="1:32" x14ac:dyDescent="0.25">
      <c r="A381" s="21" t="s">
        <v>808</v>
      </c>
      <c r="B381" s="3" t="s">
        <v>809</v>
      </c>
      <c r="C381" s="3" t="s">
        <v>19</v>
      </c>
      <c r="D381" s="4">
        <v>45352</v>
      </c>
      <c r="E381" s="4">
        <v>46082</v>
      </c>
      <c r="F381" s="3">
        <v>1000</v>
      </c>
      <c r="G381" s="3" t="s">
        <v>20</v>
      </c>
      <c r="H381" s="3">
        <v>1030.2</v>
      </c>
      <c r="I381" s="3" t="s">
        <v>20</v>
      </c>
      <c r="J381" s="3">
        <v>103.02</v>
      </c>
      <c r="K381" s="3">
        <v>1</v>
      </c>
      <c r="L381" s="5">
        <v>9.5000000000000001E-2</v>
      </c>
      <c r="M381" s="3" t="s">
        <v>21</v>
      </c>
      <c r="N381" s="3">
        <v>165</v>
      </c>
      <c r="O381" s="6">
        <f>Table1[[#This Row],[Current coupon %]]*Table1[[#This Row],[Face value]]/Table1[[#This Row],[Ask Price]]</f>
        <v>9.2215103863327499E-2</v>
      </c>
      <c r="P381" s="3"/>
      <c r="Q381" s="3" t="s">
        <v>22</v>
      </c>
      <c r="R381">
        <f t="shared" si="5"/>
        <v>2</v>
      </c>
      <c r="S381" s="22" cm="1">
        <f t="array" ref="S381">_xlfn.IFS(Table1[[#This Row],[Coupon frequency]]="Semi-annual",2,Table1[[#This Row],[Coupon frequency]]="Quarterly",4,Table1[[#This Row],[Coupon frequency]]="Annual",1,Table1[[#This Row],[Coupon frequency]]="Every 4 months",3,Table1[[#This Row],[Coupon frequency]]="Monthly",12)</f>
        <v>1</v>
      </c>
      <c r="T381">
        <f>Table1[[#This Row],[Term to Maturity (Years)]]*Table1[[#This Row],[Coupon Frequency2]]</f>
        <v>2</v>
      </c>
      <c r="U381">
        <f>Table1[[#This Row],[Face value]]*Table1[[#This Row],[Current coupon %]]/Table1[[#This Row],[Coupon Frequency2]]</f>
        <v>95</v>
      </c>
      <c r="V381" s="23">
        <f>RATE(Table1[[#This Row],[Total No. of Coupons]],Table1[[#This Row],[Coupon Amount]],-Table1[[#This Row],[Ask Price]],Table1[[#This Row],[Face value]])</f>
        <v>7.8108673071054485E-2</v>
      </c>
      <c r="W381" s="24">
        <f>Table1[[#This Row],[IRR]]*Table1[[#This Row],[Coupon Frequency2]]</f>
        <v>7.8108673071054485E-2</v>
      </c>
      <c r="X381" s="25" cm="1">
        <f t="array" ref="X38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1" s="26">
        <f>DURATION(Table1[[#This Row],[Issue date]],Table1[[#This Row],[Maturity date]],Table1[[#This Row],[Current coupon %]],Table1[[#This Row],[Yield (Annualised)]],Table1[[#This Row],[Coupon Frequency2]])</f>
        <v>1.9144658547262701</v>
      </c>
      <c r="Z381" s="26">
        <f>Table1[[#This Row],[Macaulay Duration in Years]]/(1+Table1[[#This Row],[IRR]])</f>
        <v>1.775763336800551</v>
      </c>
      <c r="AA381" s="27">
        <f>VLOOKUP(Table1[[#This Row],[Yield Cluster]],'[1]Cluster Details'!$B$3:$C$16,2,0)</f>
        <v>7.8548801574189142E-2</v>
      </c>
      <c r="AB381" s="28">
        <f>PRICE(Table1[[#This Row],[Issue date]],Table1[[#This Row],[Maturity date]],Table1[[#This Row],[Current coupon %]],Table1[[#This Row],[Average Cluster Yield]],100,Table1[[#This Row],[Coupon Frequency2]])*Table1[[#This Row],[Face value]]/100</f>
        <v>1029.3953181547861</v>
      </c>
      <c r="AC381" s="27" t="str">
        <f>IF(Table1[[#This Row],[Ask Price]]&gt;Table1[[#This Row],[Calculated Bond Price]],"Rich","Cheap")</f>
        <v>Rich</v>
      </c>
      <c r="AD381" s="28">
        <f>PRICE(Table1[[#This Row],[Issue date]],Table1[[#This Row],[Maturity date]],Table1[[#This Row],[Current coupon %]],Table1[[#This Row],[Yield (Annualised)]]+$AE$2,100,Table1[[#This Row],[Coupon Frequency2]])*Table1[[#This Row],[Face value]]/100</f>
        <v>1012.1537810113821</v>
      </c>
      <c r="AE381" s="28">
        <f>PRICE(Table1[[#This Row],[Issue date]],Table1[[#This Row],[Maturity date]],Table1[[#This Row],[Current coupon %]],Table1[[#This Row],[Yield (Annualised)]]-$AE$2,100,Table1[[#This Row],[Coupon Frequency2]])*Table1[[#This Row],[Face value]]/100</f>
        <v>1048.7477646169457</v>
      </c>
      <c r="AF381" s="28">
        <f>(Table1[[#This Row],[P (+ shock)]]+Table1[[#This Row],[P (-shock)]]-2*Table1[[#This Row],[Ask Price]])/(2*Table1[[#This Row],[Ask Price]]*($AE$2^2))</f>
        <v>2.4342148530755008</v>
      </c>
    </row>
    <row r="382" spans="1:32" x14ac:dyDescent="0.25">
      <c r="A382" s="21" t="s">
        <v>810</v>
      </c>
      <c r="B382" s="3" t="s">
        <v>811</v>
      </c>
      <c r="C382" s="3" t="s">
        <v>19</v>
      </c>
      <c r="D382" s="4">
        <v>44726</v>
      </c>
      <c r="E382" s="4">
        <v>47998</v>
      </c>
      <c r="F382" s="3">
        <v>1000000</v>
      </c>
      <c r="G382" s="3" t="s">
        <v>20</v>
      </c>
      <c r="H382" s="3">
        <v>1044000</v>
      </c>
      <c r="I382" s="3" t="s">
        <v>20</v>
      </c>
      <c r="J382" s="3">
        <v>104.4</v>
      </c>
      <c r="K382" s="3">
        <v>2</v>
      </c>
      <c r="L382" s="5">
        <v>9.6199999999999994E-2</v>
      </c>
      <c r="M382" s="3" t="s">
        <v>44</v>
      </c>
      <c r="N382" s="3">
        <v>2081</v>
      </c>
      <c r="O382" s="6">
        <f>Table1[[#This Row],[Current coupon %]]*Table1[[#This Row],[Face value]]/Table1[[#This Row],[Ask Price]]</f>
        <v>9.2145593869731798E-2</v>
      </c>
      <c r="P382" s="3"/>
      <c r="Q382" s="3" t="s">
        <v>22</v>
      </c>
      <c r="R382">
        <f t="shared" si="5"/>
        <v>9</v>
      </c>
      <c r="S382" s="22" cm="1">
        <f t="array" ref="S382">_xlfn.IFS(Table1[[#This Row],[Coupon frequency]]="Semi-annual",2,Table1[[#This Row],[Coupon frequency]]="Quarterly",4,Table1[[#This Row],[Coupon frequency]]="Annual",1,Table1[[#This Row],[Coupon frequency]]="Every 4 months",3,Table1[[#This Row],[Coupon frequency]]="Monthly",12)</f>
        <v>4</v>
      </c>
      <c r="T382">
        <f>Table1[[#This Row],[Term to Maturity (Years)]]*Table1[[#This Row],[Coupon Frequency2]]</f>
        <v>36</v>
      </c>
      <c r="U382">
        <f>Table1[[#This Row],[Face value]]*Table1[[#This Row],[Current coupon %]]/Table1[[#This Row],[Coupon Frequency2]]</f>
        <v>24050</v>
      </c>
      <c r="V382" s="23">
        <f>RATE(Table1[[#This Row],[Total No. of Coupons]],Table1[[#This Row],[Coupon Amount]],-Table1[[#This Row],[Ask Price]],Table1[[#This Row],[Face value]])</f>
        <v>2.2260468752597757E-2</v>
      </c>
      <c r="W382" s="24">
        <f>Table1[[#This Row],[IRR]]*Table1[[#This Row],[Coupon Frequency2]]</f>
        <v>8.9041875010391028E-2</v>
      </c>
      <c r="X382" s="25" cm="1">
        <f t="array" ref="X38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2" s="26">
        <f>DURATION(Table1[[#This Row],[Issue date]],Table1[[#This Row],[Maturity date]],Table1[[#This Row],[Current coupon %]],Table1[[#This Row],[Yield (Annualised)]],Table1[[#This Row],[Coupon Frequency2]])</f>
        <v>6.1501223245482421</v>
      </c>
      <c r="Z382" s="26">
        <f>Table1[[#This Row],[Macaulay Duration in Years]]/(1+Table1[[#This Row],[IRR]])</f>
        <v>6.0161989165568164</v>
      </c>
      <c r="AA382" s="27">
        <f>VLOOKUP(Table1[[#This Row],[Yield Cluster]],'[1]Cluster Details'!$B$3:$C$16,2,0)</f>
        <v>7.8548801574189142E-2</v>
      </c>
      <c r="AB382" s="28">
        <f>PRICE(Table1[[#This Row],[Issue date]],Table1[[#This Row],[Maturity date]],Table1[[#This Row],[Current coupon %]],Table1[[#This Row],[Average Cluster Yield]],100,Table1[[#This Row],[Coupon Frequency2]])*Table1[[#This Row],[Face value]]/100</f>
        <v>1112766.5787036838</v>
      </c>
      <c r="AC382" s="27" t="str">
        <f>IF(Table1[[#This Row],[Ask Price]]&gt;Table1[[#This Row],[Calculated Bond Price]],"Rich","Cheap")</f>
        <v>Cheap</v>
      </c>
      <c r="AD382" s="28">
        <f>PRICE(Table1[[#This Row],[Issue date]],Table1[[#This Row],[Maturity date]],Table1[[#This Row],[Current coupon %]],Table1[[#This Row],[Yield (Annualised)]]+$AE$2,100,Table1[[#This Row],[Coupon Frequency2]])*Table1[[#This Row],[Face value]]/100</f>
        <v>983208.60180784995</v>
      </c>
      <c r="AE382" s="28">
        <f>PRICE(Table1[[#This Row],[Issue date]],Table1[[#This Row],[Maturity date]],Table1[[#This Row],[Current coupon %]],Table1[[#This Row],[Yield (Annualised)]]-$AE$2,100,Table1[[#This Row],[Coupon Frequency2]])*Table1[[#This Row],[Face value]]/100</f>
        <v>1109398.950458833</v>
      </c>
      <c r="AF382" s="28">
        <f>(Table1[[#This Row],[P (+ shock)]]+Table1[[#This Row],[P (-shock)]]-2*Table1[[#This Row],[Ask Price]])/(2*Table1[[#This Row],[Ask Price]]*($AE$2^2))</f>
        <v>22.066821200588905</v>
      </c>
    </row>
    <row r="383" spans="1:32" x14ac:dyDescent="0.25">
      <c r="A383" s="21" t="s">
        <v>812</v>
      </c>
      <c r="B383" s="3" t="s">
        <v>813</v>
      </c>
      <c r="C383" s="3" t="s">
        <v>19</v>
      </c>
      <c r="D383" s="4">
        <v>45652</v>
      </c>
      <c r="E383" s="4">
        <v>47478</v>
      </c>
      <c r="F383" s="3">
        <v>1000</v>
      </c>
      <c r="G383" s="3" t="s">
        <v>20</v>
      </c>
      <c r="H383" s="3">
        <v>1004</v>
      </c>
      <c r="I383" s="3" t="s">
        <v>20</v>
      </c>
      <c r="J383" s="3">
        <v>100.4</v>
      </c>
      <c r="K383" s="3">
        <v>52</v>
      </c>
      <c r="L383" s="5">
        <v>9.2499999999999999E-2</v>
      </c>
      <c r="M383" s="3" t="s">
        <v>21</v>
      </c>
      <c r="N383" s="3">
        <v>1561</v>
      </c>
      <c r="O383" s="6">
        <f>Table1[[#This Row],[Current coupon %]]*Table1[[#This Row],[Face value]]/Table1[[#This Row],[Ask Price]]</f>
        <v>9.2131474103585659E-2</v>
      </c>
      <c r="P383" s="3"/>
      <c r="Q383" s="3" t="s">
        <v>22</v>
      </c>
      <c r="R383">
        <f t="shared" si="5"/>
        <v>5</v>
      </c>
      <c r="S383" s="22" cm="1">
        <f t="array" ref="S383">_xlfn.IFS(Table1[[#This Row],[Coupon frequency]]="Semi-annual",2,Table1[[#This Row],[Coupon frequency]]="Quarterly",4,Table1[[#This Row],[Coupon frequency]]="Annual",1,Table1[[#This Row],[Coupon frequency]]="Every 4 months",3,Table1[[#This Row],[Coupon frequency]]="Monthly",12)</f>
        <v>1</v>
      </c>
      <c r="T383">
        <f>Table1[[#This Row],[Term to Maturity (Years)]]*Table1[[#This Row],[Coupon Frequency2]]</f>
        <v>5</v>
      </c>
      <c r="U383">
        <f>Table1[[#This Row],[Face value]]*Table1[[#This Row],[Current coupon %]]/Table1[[#This Row],[Coupon Frequency2]]</f>
        <v>92.5</v>
      </c>
      <c r="V383" s="23">
        <f>RATE(Table1[[#This Row],[Total No. of Coupons]],Table1[[#This Row],[Coupon Amount]],-Table1[[#This Row],[Ask Price]],Table1[[#This Row],[Face value]])</f>
        <v>9.1467710927811613E-2</v>
      </c>
      <c r="W383" s="24">
        <f>Table1[[#This Row],[IRR]]*Table1[[#This Row],[Coupon Frequency2]]</f>
        <v>9.1467710927811613E-2</v>
      </c>
      <c r="X383" s="25" cm="1">
        <f t="array" ref="X38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3" s="26">
        <f>DURATION(Table1[[#This Row],[Issue date]],Table1[[#This Row],[Maturity date]],Table1[[#This Row],[Current coupon %]],Table1[[#This Row],[Yield (Annualised)]],Table1[[#This Row],[Coupon Frequency2]])</f>
        <v>4.2237175937115161</v>
      </c>
      <c r="Z383" s="26">
        <f>Table1[[#This Row],[Macaulay Duration in Years]]/(1+Table1[[#This Row],[IRR]])</f>
        <v>3.8697595461812679</v>
      </c>
      <c r="AA383" s="27">
        <f>VLOOKUP(Table1[[#This Row],[Yield Cluster]],'[1]Cluster Details'!$B$3:$C$16,2,0)</f>
        <v>7.8548801574189142E-2</v>
      </c>
      <c r="AB383" s="28">
        <f>PRICE(Table1[[#This Row],[Issue date]],Table1[[#This Row],[Maturity date]],Table1[[#This Row],[Current coupon %]],Table1[[#This Row],[Average Cluster Yield]],100,Table1[[#This Row],[Coupon Frequency2]])*Table1[[#This Row],[Face value]]/100</f>
        <v>1055.9167958481376</v>
      </c>
      <c r="AC383" s="27" t="str">
        <f>IF(Table1[[#This Row],[Ask Price]]&gt;Table1[[#This Row],[Calculated Bond Price]],"Rich","Cheap")</f>
        <v>Cheap</v>
      </c>
      <c r="AD383" s="28">
        <f>PRICE(Table1[[#This Row],[Issue date]],Table1[[#This Row],[Maturity date]],Table1[[#This Row],[Current coupon %]],Table1[[#This Row],[Yield (Annualised)]]+$AE$2,100,Table1[[#This Row],[Coupon Frequency2]])*Table1[[#This Row],[Face value]]/100</f>
        <v>966.13240038619244</v>
      </c>
      <c r="AE383" s="28">
        <f>PRICE(Table1[[#This Row],[Issue date]],Table1[[#This Row],[Maturity date]],Table1[[#This Row],[Current coupon %]],Table1[[#This Row],[Yield (Annualised)]]-$AE$2,100,Table1[[#This Row],[Coupon Frequency2]])*Table1[[#This Row],[Face value]]/100</f>
        <v>1043.8788609189357</v>
      </c>
      <c r="AF383" s="28">
        <f>(Table1[[#This Row],[P (+ shock)]]+Table1[[#This Row],[P (-shock)]]-2*Table1[[#This Row],[Ask Price]])/(2*Table1[[#This Row],[Ask Price]]*($AE$2^2))</f>
        <v>10.016241559403888</v>
      </c>
    </row>
    <row r="384" spans="1:32" x14ac:dyDescent="0.25">
      <c r="A384" s="21" t="s">
        <v>814</v>
      </c>
      <c r="B384" s="3" t="s">
        <v>815</v>
      </c>
      <c r="C384" s="3" t="s">
        <v>19</v>
      </c>
      <c r="D384" s="4">
        <v>45653</v>
      </c>
      <c r="E384" s="4">
        <v>46383</v>
      </c>
      <c r="F384" s="3">
        <v>1000</v>
      </c>
      <c r="G384" s="3" t="s">
        <v>20</v>
      </c>
      <c r="H384" s="3">
        <v>1047.9000000000001</v>
      </c>
      <c r="I384" s="3" t="s">
        <v>20</v>
      </c>
      <c r="J384" s="3">
        <v>104.79</v>
      </c>
      <c r="K384" s="3">
        <v>9</v>
      </c>
      <c r="L384" s="5">
        <v>9.6500000000000002E-2</v>
      </c>
      <c r="M384" s="3" t="s">
        <v>21</v>
      </c>
      <c r="N384" s="3">
        <v>466</v>
      </c>
      <c r="O384" s="6">
        <f>Table1[[#This Row],[Current coupon %]]*Table1[[#This Row],[Face value]]/Table1[[#This Row],[Ask Price]]</f>
        <v>9.2088939784330553E-2</v>
      </c>
      <c r="P384" s="3" t="s">
        <v>25</v>
      </c>
      <c r="Q384" s="3" t="s">
        <v>22</v>
      </c>
      <c r="R384">
        <f t="shared" si="5"/>
        <v>2</v>
      </c>
      <c r="S384" s="22" cm="1">
        <f t="array" ref="S384">_xlfn.IFS(Table1[[#This Row],[Coupon frequency]]="Semi-annual",2,Table1[[#This Row],[Coupon frequency]]="Quarterly",4,Table1[[#This Row],[Coupon frequency]]="Annual",1,Table1[[#This Row],[Coupon frequency]]="Every 4 months",3,Table1[[#This Row],[Coupon frequency]]="Monthly",12)</f>
        <v>1</v>
      </c>
      <c r="T384">
        <f>Table1[[#This Row],[Term to Maturity (Years)]]*Table1[[#This Row],[Coupon Frequency2]]</f>
        <v>2</v>
      </c>
      <c r="U384">
        <f>Table1[[#This Row],[Face value]]*Table1[[#This Row],[Current coupon %]]/Table1[[#This Row],[Coupon Frequency2]]</f>
        <v>96.5</v>
      </c>
      <c r="V384" s="23">
        <f>RATE(Table1[[#This Row],[Total No. of Coupons]],Table1[[#This Row],[Coupon Amount]],-Table1[[#This Row],[Ask Price]],Table1[[#This Row],[Face value]])</f>
        <v>7.0006658860015031E-2</v>
      </c>
      <c r="W384" s="24">
        <f>Table1[[#This Row],[IRR]]*Table1[[#This Row],[Coupon Frequency2]]</f>
        <v>7.0006658860015031E-2</v>
      </c>
      <c r="X384" s="25" cm="1">
        <f t="array" ref="X38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4" s="26">
        <f>DURATION(Table1[[#This Row],[Issue date]],Table1[[#This Row],[Maturity date]],Table1[[#This Row],[Current coupon %]],Table1[[#This Row],[Yield (Annualised)]],Table1[[#This Row],[Coupon Frequency2]])</f>
        <v>1.9139361058907398</v>
      </c>
      <c r="Z384" s="26">
        <f>Table1[[#This Row],[Macaulay Duration in Years]]/(1+Table1[[#This Row],[IRR]])</f>
        <v>1.7887142010217461</v>
      </c>
      <c r="AA384" s="27">
        <f>VLOOKUP(Table1[[#This Row],[Yield Cluster]],'[1]Cluster Details'!$B$3:$C$16,2,0)</f>
        <v>7.8548801574189142E-2</v>
      </c>
      <c r="AB384" s="28">
        <f>PRICE(Table1[[#This Row],[Issue date]],Table1[[#This Row],[Maturity date]],Table1[[#This Row],[Current coupon %]],Table1[[#This Row],[Average Cluster Yield]],100,Table1[[#This Row],[Coupon Frequency2]])*Table1[[#This Row],[Face value]]/100</f>
        <v>1032.0755470409078</v>
      </c>
      <c r="AC384" s="27" t="str">
        <f>IF(Table1[[#This Row],[Ask Price]]&gt;Table1[[#This Row],[Calculated Bond Price]],"Rich","Cheap")</f>
        <v>Rich</v>
      </c>
      <c r="AD384" s="28">
        <f>PRICE(Table1[[#This Row],[Issue date]],Table1[[#This Row],[Maturity date]],Table1[[#This Row],[Current coupon %]],Table1[[#This Row],[Yield (Annualised)]]+$AE$2,100,Table1[[#This Row],[Coupon Frequency2]])*Table1[[#This Row],[Face value]]/100</f>
        <v>1029.411725277625</v>
      </c>
      <c r="AE384" s="28">
        <f>PRICE(Table1[[#This Row],[Issue date]],Table1[[#This Row],[Maturity date]],Table1[[#This Row],[Current coupon %]],Table1[[#This Row],[Yield (Annualised)]]-$AE$2,100,Table1[[#This Row],[Coupon Frequency2]])*Table1[[#This Row],[Face value]]/100</f>
        <v>1066.905999690244</v>
      </c>
      <c r="AF384" s="28">
        <f>(Table1[[#This Row],[P (+ shock)]]+Table1[[#This Row],[P (-shock)]]-2*Table1[[#This Row],[Ask Price]])/(2*Table1[[#This Row],[Ask Price]]*($AE$2^2))</f>
        <v>2.4702975850227662</v>
      </c>
    </row>
    <row r="385" spans="1:32" x14ac:dyDescent="0.25">
      <c r="A385" s="21" t="s">
        <v>816</v>
      </c>
      <c r="B385" s="3" t="s">
        <v>817</v>
      </c>
      <c r="C385" s="3" t="s">
        <v>19</v>
      </c>
      <c r="D385" s="4">
        <v>45793</v>
      </c>
      <c r="E385" s="4">
        <v>46523</v>
      </c>
      <c r="F385" s="3">
        <v>100000</v>
      </c>
      <c r="G385" s="3" t="s">
        <v>20</v>
      </c>
      <c r="H385" s="3">
        <v>100557.85</v>
      </c>
      <c r="I385" s="3" t="s">
        <v>20</v>
      </c>
      <c r="J385" s="3">
        <v>100.55785</v>
      </c>
      <c r="K385" s="3">
        <v>1</v>
      </c>
      <c r="L385" s="5">
        <v>9.2499999999999999E-2</v>
      </c>
      <c r="M385" s="3" t="s">
        <v>44</v>
      </c>
      <c r="N385" s="3">
        <v>606</v>
      </c>
      <c r="O385" s="6">
        <f>Table1[[#This Row],[Current coupon %]]*Table1[[#This Row],[Face value]]/Table1[[#This Row],[Ask Price]]</f>
        <v>9.1986851349745435E-2</v>
      </c>
      <c r="P385" s="3"/>
      <c r="Q385" s="3" t="s">
        <v>22</v>
      </c>
      <c r="R385">
        <f t="shared" si="5"/>
        <v>2</v>
      </c>
      <c r="S385" s="22" cm="1">
        <f t="array" ref="S385">_xlfn.IFS(Table1[[#This Row],[Coupon frequency]]="Semi-annual",2,Table1[[#This Row],[Coupon frequency]]="Quarterly",4,Table1[[#This Row],[Coupon frequency]]="Annual",1,Table1[[#This Row],[Coupon frequency]]="Every 4 months",3,Table1[[#This Row],[Coupon frequency]]="Monthly",12)</f>
        <v>4</v>
      </c>
      <c r="T385">
        <f>Table1[[#This Row],[Term to Maturity (Years)]]*Table1[[#This Row],[Coupon Frequency2]]</f>
        <v>8</v>
      </c>
      <c r="U385">
        <f>Table1[[#This Row],[Face value]]*Table1[[#This Row],[Current coupon %]]/Table1[[#This Row],[Coupon Frequency2]]</f>
        <v>2312.5</v>
      </c>
      <c r="V385" s="23">
        <f>RATE(Table1[[#This Row],[Total No. of Coupons]],Table1[[#This Row],[Coupon Amount]],-Table1[[#This Row],[Ask Price]],Table1[[#This Row],[Face value]])</f>
        <v>2.2355728793263238E-2</v>
      </c>
      <c r="W385" s="24">
        <f>Table1[[#This Row],[IRR]]*Table1[[#This Row],[Coupon Frequency2]]</f>
        <v>8.9422915173052953E-2</v>
      </c>
      <c r="X385" s="25" cm="1">
        <f t="array" ref="X38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5" s="26">
        <f>DURATION(Table1[[#This Row],[Issue date]],Table1[[#This Row],[Maturity date]],Table1[[#This Row],[Current coupon %]],Table1[[#This Row],[Yield (Annualised)]],Table1[[#This Row],[Coupon Frequency2]])</f>
        <v>1.8492442902323252</v>
      </c>
      <c r="Z385" s="26">
        <f>Table1[[#This Row],[Macaulay Duration in Years]]/(1+Table1[[#This Row],[IRR]])</f>
        <v>1.8088070895001285</v>
      </c>
      <c r="AA385" s="27">
        <f>VLOOKUP(Table1[[#This Row],[Yield Cluster]],'[1]Cluster Details'!$B$3:$C$16,2,0)</f>
        <v>7.8548801574189142E-2</v>
      </c>
      <c r="AB385" s="28">
        <f>PRICE(Table1[[#This Row],[Issue date]],Table1[[#This Row],[Maturity date]],Table1[[#This Row],[Current coupon %]],Table1[[#This Row],[Average Cluster Yield]],100,Table1[[#This Row],[Coupon Frequency2]])*Table1[[#This Row],[Face value]]/100</f>
        <v>102558.98084349948</v>
      </c>
      <c r="AC385" s="27" t="str">
        <f>IF(Table1[[#This Row],[Ask Price]]&gt;Table1[[#This Row],[Calculated Bond Price]],"Rich","Cheap")</f>
        <v>Cheap</v>
      </c>
      <c r="AD385" s="28">
        <f>PRICE(Table1[[#This Row],[Issue date]],Table1[[#This Row],[Maturity date]],Table1[[#This Row],[Current coupon %]],Table1[[#This Row],[Yield (Annualised)]]+$AE$2,100,Table1[[#This Row],[Coupon Frequency2]])*Table1[[#This Row],[Face value]]/100</f>
        <v>98758.279986426744</v>
      </c>
      <c r="AE385" s="28">
        <f>PRICE(Table1[[#This Row],[Issue date]],Table1[[#This Row],[Maturity date]],Table1[[#This Row],[Current coupon %]],Table1[[#This Row],[Yield (Annualised)]]-$AE$2,100,Table1[[#This Row],[Coupon Frequency2]])*Table1[[#This Row],[Face value]]/100</f>
        <v>102396.38837775095</v>
      </c>
      <c r="AF385" s="28">
        <f>(Table1[[#This Row],[P (+ shock)]]+Table1[[#This Row],[P (-shock)]]-2*Table1[[#This Row],[Ask Price]])/(2*Table1[[#This Row],[Ask Price]]*($AE$2^2))</f>
        <v>1.937609255651308</v>
      </c>
    </row>
    <row r="386" spans="1:32" x14ac:dyDescent="0.25">
      <c r="A386" s="21" t="s">
        <v>818</v>
      </c>
      <c r="B386" s="3" t="s">
        <v>819</v>
      </c>
      <c r="C386" s="3" t="s">
        <v>19</v>
      </c>
      <c r="D386" s="4">
        <v>45855</v>
      </c>
      <c r="E386" s="4">
        <v>47681</v>
      </c>
      <c r="F386" s="3">
        <v>1000</v>
      </c>
      <c r="G386" s="3" t="s">
        <v>20</v>
      </c>
      <c r="H386" s="3">
        <v>1011.5</v>
      </c>
      <c r="I386" s="3" t="s">
        <v>20</v>
      </c>
      <c r="J386" s="3">
        <v>101.15</v>
      </c>
      <c r="K386" s="3">
        <v>794</v>
      </c>
      <c r="L386" s="5">
        <v>9.3000000000000013E-2</v>
      </c>
      <c r="M386" s="3" t="s">
        <v>21</v>
      </c>
      <c r="N386" s="3">
        <v>1764</v>
      </c>
      <c r="O386" s="6">
        <f>Table1[[#This Row],[Current coupon %]]*Table1[[#This Row],[Face value]]/Table1[[#This Row],[Ask Price]]</f>
        <v>9.1942659416707873E-2</v>
      </c>
      <c r="P386" s="3"/>
      <c r="Q386" s="3" t="s">
        <v>22</v>
      </c>
      <c r="R386">
        <f t="shared" si="5"/>
        <v>5</v>
      </c>
      <c r="S386" s="22" cm="1">
        <f t="array" ref="S386">_xlfn.IFS(Table1[[#This Row],[Coupon frequency]]="Semi-annual",2,Table1[[#This Row],[Coupon frequency]]="Quarterly",4,Table1[[#This Row],[Coupon frequency]]="Annual",1,Table1[[#This Row],[Coupon frequency]]="Every 4 months",3,Table1[[#This Row],[Coupon frequency]]="Monthly",12)</f>
        <v>1</v>
      </c>
      <c r="T386">
        <f>Table1[[#This Row],[Term to Maturity (Years)]]*Table1[[#This Row],[Coupon Frequency2]]</f>
        <v>5</v>
      </c>
      <c r="U386">
        <f>Table1[[#This Row],[Face value]]*Table1[[#This Row],[Current coupon %]]/Table1[[#This Row],[Coupon Frequency2]]</f>
        <v>93.000000000000014</v>
      </c>
      <c r="V386" s="23">
        <f>RATE(Table1[[#This Row],[Total No. of Coupons]],Table1[[#This Row],[Coupon Amount]],-Table1[[#This Row],[Ask Price]],Table1[[#This Row],[Face value]])</f>
        <v>9.0043106057123429E-2</v>
      </c>
      <c r="W386" s="24">
        <f>Table1[[#This Row],[IRR]]*Table1[[#This Row],[Coupon Frequency2]]</f>
        <v>9.0043106057123429E-2</v>
      </c>
      <c r="X386" s="25" cm="1">
        <f t="array" ref="X38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6" s="26">
        <f>DURATION(Table1[[#This Row],[Issue date]],Table1[[#This Row],[Maturity date]],Table1[[#This Row],[Current coupon %]],Table1[[#This Row],[Yield (Annualised)]],Table1[[#This Row],[Coupon Frequency2]])</f>
        <v>4.2233680022607256</v>
      </c>
      <c r="Z386" s="26">
        <f>Table1[[#This Row],[Macaulay Duration in Years]]/(1+Table1[[#This Row],[IRR]])</f>
        <v>3.8744963192670303</v>
      </c>
      <c r="AA386" s="27">
        <f>VLOOKUP(Table1[[#This Row],[Yield Cluster]],'[1]Cluster Details'!$B$3:$C$16,2,0)</f>
        <v>7.8548801574189142E-2</v>
      </c>
      <c r="AB386" s="28">
        <f>PRICE(Table1[[#This Row],[Issue date]],Table1[[#This Row],[Maturity date]],Table1[[#This Row],[Current coupon %]],Table1[[#This Row],[Average Cluster Yield]],100,Table1[[#This Row],[Coupon Frequency2]])*Table1[[#This Row],[Face value]]/100</f>
        <v>1057.9208099170899</v>
      </c>
      <c r="AC386" s="27" t="str">
        <f>IF(Table1[[#This Row],[Ask Price]]&gt;Table1[[#This Row],[Calculated Bond Price]],"Rich","Cheap")</f>
        <v>Cheap</v>
      </c>
      <c r="AD386" s="28">
        <f>PRICE(Table1[[#This Row],[Issue date]],Table1[[#This Row],[Maturity date]],Table1[[#This Row],[Current coupon %]],Table1[[#This Row],[Yield (Annualised)]]+$AE$2,100,Table1[[#This Row],[Coupon Frequency2]])*Table1[[#This Row],[Face value]]/100</f>
        <v>973.30402660264906</v>
      </c>
      <c r="AE386" s="28">
        <f>PRICE(Table1[[#This Row],[Issue date]],Table1[[#This Row],[Maturity date]],Table1[[#This Row],[Current coupon %]],Table1[[#This Row],[Yield (Annualised)]]-$AE$2,100,Table1[[#This Row],[Coupon Frequency2]])*Table1[[#This Row],[Face value]]/100</f>
        <v>1051.7272435626899</v>
      </c>
      <c r="AF386" s="28">
        <f>(Table1[[#This Row],[P (+ shock)]]+Table1[[#This Row],[P (-shock)]]-2*Table1[[#This Row],[Ask Price]])/(2*Table1[[#This Row],[Ask Price]]*($AE$2^2))</f>
        <v>10.040880698659468</v>
      </c>
    </row>
    <row r="387" spans="1:32" x14ac:dyDescent="0.25">
      <c r="A387" s="21" t="s">
        <v>820</v>
      </c>
      <c r="B387" s="3" t="s">
        <v>821</v>
      </c>
      <c r="C387" s="3" t="s">
        <v>19</v>
      </c>
      <c r="D387" s="4">
        <v>45547</v>
      </c>
      <c r="E387" s="4">
        <v>47373</v>
      </c>
      <c r="F387" s="3">
        <v>1000</v>
      </c>
      <c r="G387" s="3" t="s">
        <v>20</v>
      </c>
      <c r="H387" s="3">
        <v>1040</v>
      </c>
      <c r="I387" s="3" t="s">
        <v>20</v>
      </c>
      <c r="J387" s="3">
        <v>104</v>
      </c>
      <c r="K387" s="3">
        <v>107</v>
      </c>
      <c r="L387" s="5">
        <v>9.5600000000000004E-2</v>
      </c>
      <c r="M387" s="3" t="s">
        <v>44</v>
      </c>
      <c r="N387" s="3">
        <v>1456</v>
      </c>
      <c r="O387" s="6">
        <f>Table1[[#This Row],[Current coupon %]]*Table1[[#This Row],[Face value]]/Table1[[#This Row],[Ask Price]]</f>
        <v>9.1923076923076927E-2</v>
      </c>
      <c r="P387" s="3"/>
      <c r="Q387" s="3" t="s">
        <v>22</v>
      </c>
      <c r="R387">
        <f t="shared" si="5"/>
        <v>5</v>
      </c>
      <c r="S387" s="22" cm="1">
        <f t="array" ref="S387">_xlfn.IFS(Table1[[#This Row],[Coupon frequency]]="Semi-annual",2,Table1[[#This Row],[Coupon frequency]]="Quarterly",4,Table1[[#This Row],[Coupon frequency]]="Annual",1,Table1[[#This Row],[Coupon frequency]]="Every 4 months",3,Table1[[#This Row],[Coupon frequency]]="Monthly",12)</f>
        <v>4</v>
      </c>
      <c r="T387">
        <f>Table1[[#This Row],[Term to Maturity (Years)]]*Table1[[#This Row],[Coupon Frequency2]]</f>
        <v>20</v>
      </c>
      <c r="U387">
        <f>Table1[[#This Row],[Face value]]*Table1[[#This Row],[Current coupon %]]/Table1[[#This Row],[Coupon Frequency2]]</f>
        <v>23.900000000000002</v>
      </c>
      <c r="V387" s="23">
        <f>RATE(Table1[[#This Row],[Total No. of Coupons]],Table1[[#This Row],[Coupon Amount]],-Table1[[#This Row],[Ask Price]],Table1[[#This Row],[Face value]])</f>
        <v>2.1420079249434138E-2</v>
      </c>
      <c r="W387" s="24">
        <f>Table1[[#This Row],[IRR]]*Table1[[#This Row],[Coupon Frequency2]]</f>
        <v>8.5680316997736553E-2</v>
      </c>
      <c r="X387" s="25" cm="1">
        <f t="array" ref="X38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7" s="26">
        <f>DURATION(Table1[[#This Row],[Issue date]],Table1[[#This Row],[Maturity date]],Table1[[#This Row],[Current coupon %]],Table1[[#This Row],[Yield (Annualised)]],Table1[[#This Row],[Coupon Frequency2]])</f>
        <v>4.0545529461626355</v>
      </c>
      <c r="Z387" s="26">
        <f>Table1[[#This Row],[Macaulay Duration in Years]]/(1+Table1[[#This Row],[IRR]])</f>
        <v>3.9695253975641696</v>
      </c>
      <c r="AA387" s="27">
        <f>VLOOKUP(Table1[[#This Row],[Yield Cluster]],'[1]Cluster Details'!$B$3:$C$16,2,0)</f>
        <v>7.8548801574189142E-2</v>
      </c>
      <c r="AB387" s="28">
        <f>PRICE(Table1[[#This Row],[Issue date]],Table1[[#This Row],[Maturity date]],Table1[[#This Row],[Current coupon %]],Table1[[#This Row],[Average Cluster Yield]],100,Table1[[#This Row],[Coupon Frequency2]])*Table1[[#This Row],[Face value]]/100</f>
        <v>1069.9475388384758</v>
      </c>
      <c r="AC387" s="27" t="str">
        <f>IF(Table1[[#This Row],[Ask Price]]&gt;Table1[[#This Row],[Calculated Bond Price]],"Rich","Cheap")</f>
        <v>Cheap</v>
      </c>
      <c r="AD387" s="28">
        <f>PRICE(Table1[[#This Row],[Issue date]],Table1[[#This Row],[Maturity date]],Table1[[#This Row],[Current coupon %]],Table1[[#This Row],[Yield (Annualised)]]+$AE$2,100,Table1[[#This Row],[Coupon Frequency2]])*Table1[[#This Row],[Face value]]/100</f>
        <v>999.6837643754202</v>
      </c>
      <c r="AE387" s="28">
        <f>PRICE(Table1[[#This Row],[Issue date]],Table1[[#This Row],[Maturity date]],Table1[[#This Row],[Current coupon %]],Table1[[#This Row],[Yield (Annualised)]]-$AE$2,100,Table1[[#This Row],[Coupon Frequency2]])*Table1[[#This Row],[Face value]]/100</f>
        <v>1082.2838706758682</v>
      </c>
      <c r="AF387" s="28">
        <f>(Table1[[#This Row],[P (+ shock)]]+Table1[[#This Row],[P (-shock)]]-2*Table1[[#This Row],[Ask Price]])/(2*Table1[[#This Row],[Ask Price]]*($AE$2^2))</f>
        <v>9.4597839004240285</v>
      </c>
    </row>
    <row r="388" spans="1:32" x14ac:dyDescent="0.25">
      <c r="A388" s="21" t="s">
        <v>822</v>
      </c>
      <c r="B388" s="3" t="s">
        <v>823</v>
      </c>
      <c r="C388" s="3" t="s">
        <v>19</v>
      </c>
      <c r="D388" s="4">
        <v>45281</v>
      </c>
      <c r="E388" s="4">
        <v>46377</v>
      </c>
      <c r="F388" s="3">
        <v>1000</v>
      </c>
      <c r="G388" s="3" t="s">
        <v>20</v>
      </c>
      <c r="H388" s="3">
        <v>1050</v>
      </c>
      <c r="I388" s="3" t="s">
        <v>20</v>
      </c>
      <c r="J388" s="3">
        <v>105</v>
      </c>
      <c r="K388" s="3">
        <v>130</v>
      </c>
      <c r="L388" s="5">
        <v>0.1</v>
      </c>
      <c r="M388" s="3" t="s">
        <v>21</v>
      </c>
      <c r="N388" s="3">
        <v>460</v>
      </c>
      <c r="O388" s="6">
        <f>Table1[[#This Row],[Current coupon %]]*Table1[[#This Row],[Face value]]/Table1[[#This Row],[Ask Price]]</f>
        <v>9.5238095238095233E-2</v>
      </c>
      <c r="P388" s="3"/>
      <c r="Q388" s="3" t="s">
        <v>22</v>
      </c>
      <c r="R388">
        <f t="shared" ref="R388:R451" si="6">ROUND(YEARFRAC(D388,E388),0)</f>
        <v>3</v>
      </c>
      <c r="S388" s="22" cm="1">
        <f t="array" ref="S388">_xlfn.IFS(Table1[[#This Row],[Coupon frequency]]="Semi-annual",2,Table1[[#This Row],[Coupon frequency]]="Quarterly",4,Table1[[#This Row],[Coupon frequency]]="Annual",1,Table1[[#This Row],[Coupon frequency]]="Every 4 months",3,Table1[[#This Row],[Coupon frequency]]="Monthly",12)</f>
        <v>1</v>
      </c>
      <c r="T388">
        <f>Table1[[#This Row],[Term to Maturity (Years)]]*Table1[[#This Row],[Coupon Frequency2]]</f>
        <v>3</v>
      </c>
      <c r="U388">
        <f>Table1[[#This Row],[Face value]]*Table1[[#This Row],[Current coupon %]]/Table1[[#This Row],[Coupon Frequency2]]</f>
        <v>100</v>
      </c>
      <c r="V388" s="23">
        <f>RATE(Table1[[#This Row],[Total No. of Coupons]],Table1[[#This Row],[Coupon Amount]],-Table1[[#This Row],[Ask Price]],Table1[[#This Row],[Face value]])</f>
        <v>8.0578083335438075E-2</v>
      </c>
      <c r="W388" s="24">
        <f>Table1[[#This Row],[IRR]]*Table1[[#This Row],[Coupon Frequency2]]</f>
        <v>8.0578083335438075E-2</v>
      </c>
      <c r="X388" s="25" cm="1">
        <f t="array" ref="X38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8" s="26">
        <f>DURATION(Table1[[#This Row],[Issue date]],Table1[[#This Row],[Maturity date]],Table1[[#This Row],[Current coupon %]],Table1[[#This Row],[Yield (Annualised)]],Table1[[#This Row],[Coupon Frequency2]])</f>
        <v>2.7421635323943612</v>
      </c>
      <c r="Z388" s="26">
        <f>Table1[[#This Row],[Macaulay Duration in Years]]/(1+Table1[[#This Row],[IRR]])</f>
        <v>2.5376819821572543</v>
      </c>
      <c r="AA388" s="27">
        <f>VLOOKUP(Table1[[#This Row],[Yield Cluster]],'[1]Cluster Details'!$B$3:$C$16,2,0)</f>
        <v>7.8548801574189142E-2</v>
      </c>
      <c r="AB388" s="28">
        <f>PRICE(Table1[[#This Row],[Issue date]],Table1[[#This Row],[Maturity date]],Table1[[#This Row],[Current coupon %]],Table1[[#This Row],[Average Cluster Yield]],100,Table1[[#This Row],[Coupon Frequency2]])*Table1[[#This Row],[Face value]]/100</f>
        <v>1055.4268965673293</v>
      </c>
      <c r="AC388" s="27" t="str">
        <f>IF(Table1[[#This Row],[Ask Price]]&gt;Table1[[#This Row],[Calculated Bond Price]],"Rich","Cheap")</f>
        <v>Cheap</v>
      </c>
      <c r="AD388" s="28">
        <f>PRICE(Table1[[#This Row],[Issue date]],Table1[[#This Row],[Maturity date]],Table1[[#This Row],[Current coupon %]],Table1[[#This Row],[Yield (Annualised)]]+$AE$2,100,Table1[[#This Row],[Coupon Frequency2]])*Table1[[#This Row],[Face value]]/100</f>
        <v>1023.8250971720908</v>
      </c>
      <c r="AE388" s="28">
        <f>PRICE(Table1[[#This Row],[Issue date]],Table1[[#This Row],[Maturity date]],Table1[[#This Row],[Current coupon %]],Table1[[#This Row],[Yield (Annualised)]]-$AE$2,100,Table1[[#This Row],[Coupon Frequency2]])*Table1[[#This Row],[Face value]]/100</f>
        <v>1077.130930359524</v>
      </c>
      <c r="AF388" s="28">
        <f>(Table1[[#This Row],[P (+ shock)]]+Table1[[#This Row],[P (-shock)]]-2*Table1[[#This Row],[Ask Price]])/(2*Table1[[#This Row],[Ask Price]]*($AE$2^2))</f>
        <v>4.5525120553087444</v>
      </c>
    </row>
    <row r="389" spans="1:32" x14ac:dyDescent="0.25">
      <c r="A389" s="21" t="s">
        <v>824</v>
      </c>
      <c r="B389" s="3" t="s">
        <v>825</v>
      </c>
      <c r="C389" s="3" t="s">
        <v>19</v>
      </c>
      <c r="D389" s="4">
        <v>45411</v>
      </c>
      <c r="E389" s="4">
        <v>46506</v>
      </c>
      <c r="F389" s="3">
        <v>1000</v>
      </c>
      <c r="G389" s="3" t="s">
        <v>20</v>
      </c>
      <c r="H389" s="3">
        <v>1040</v>
      </c>
      <c r="I389" s="3" t="s">
        <v>20</v>
      </c>
      <c r="J389" s="3">
        <v>104</v>
      </c>
      <c r="K389" s="3">
        <v>105</v>
      </c>
      <c r="L389" s="5">
        <v>9.6000000000000002E-2</v>
      </c>
      <c r="M389" s="3" t="s">
        <v>21</v>
      </c>
      <c r="N389" s="3">
        <v>589</v>
      </c>
      <c r="O389" s="6">
        <f>Table1[[#This Row],[Current coupon %]]*Table1[[#This Row],[Face value]]/Table1[[#This Row],[Ask Price]]</f>
        <v>9.2307692307692313E-2</v>
      </c>
      <c r="P389" s="3"/>
      <c r="Q389" s="3" t="s">
        <v>22</v>
      </c>
      <c r="R389">
        <f t="shared" si="6"/>
        <v>3</v>
      </c>
      <c r="S389" s="22" cm="1">
        <f t="array" ref="S389">_xlfn.IFS(Table1[[#This Row],[Coupon frequency]]="Semi-annual",2,Table1[[#This Row],[Coupon frequency]]="Quarterly",4,Table1[[#This Row],[Coupon frequency]]="Annual",1,Table1[[#This Row],[Coupon frequency]]="Every 4 months",3,Table1[[#This Row],[Coupon frequency]]="Monthly",12)</f>
        <v>1</v>
      </c>
      <c r="T389">
        <f>Table1[[#This Row],[Term to Maturity (Years)]]*Table1[[#This Row],[Coupon Frequency2]]</f>
        <v>3</v>
      </c>
      <c r="U389">
        <f>Table1[[#This Row],[Face value]]*Table1[[#This Row],[Current coupon %]]/Table1[[#This Row],[Coupon Frequency2]]</f>
        <v>96</v>
      </c>
      <c r="V389" s="23">
        <f>RATE(Table1[[#This Row],[Total No. of Coupons]],Table1[[#This Row],[Coupon Amount]],-Table1[[#This Row],[Ask Price]],Table1[[#This Row],[Face value]])</f>
        <v>8.0465617379687243E-2</v>
      </c>
      <c r="W389" s="24">
        <f>Table1[[#This Row],[IRR]]*Table1[[#This Row],[Coupon Frequency2]]</f>
        <v>8.0465617379687243E-2</v>
      </c>
      <c r="X389" s="25" cm="1">
        <f t="array" ref="X38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89" s="26">
        <f>DURATION(Table1[[#This Row],[Issue date]],Table1[[#This Row],[Maturity date]],Table1[[#This Row],[Current coupon %]],Table1[[#This Row],[Yield (Annualised)]],Table1[[#This Row],[Coupon Frequency2]])</f>
        <v>2.7500627200511851</v>
      </c>
      <c r="Z389" s="26">
        <f>Table1[[#This Row],[Macaulay Duration in Years]]/(1+Table1[[#This Row],[IRR]])</f>
        <v>2.5452570408677646</v>
      </c>
      <c r="AA389" s="27">
        <f>VLOOKUP(Table1[[#This Row],[Yield Cluster]],'[1]Cluster Details'!$B$3:$C$16,2,0)</f>
        <v>7.8548801574189142E-2</v>
      </c>
      <c r="AB389" s="28">
        <f>PRICE(Table1[[#This Row],[Issue date]],Table1[[#This Row],[Maturity date]],Table1[[#This Row],[Current coupon %]],Table1[[#This Row],[Average Cluster Yield]],100,Table1[[#This Row],[Coupon Frequency2]])*Table1[[#This Row],[Face value]]/100</f>
        <v>1045.0914560073952</v>
      </c>
      <c r="AC389" s="27" t="str">
        <f>IF(Table1[[#This Row],[Ask Price]]&gt;Table1[[#This Row],[Calculated Bond Price]],"Rich","Cheap")</f>
        <v>Cheap</v>
      </c>
      <c r="AD389" s="28">
        <f>PRICE(Table1[[#This Row],[Issue date]],Table1[[#This Row],[Maturity date]],Table1[[#This Row],[Current coupon %]],Table1[[#This Row],[Yield (Annualised)]]+$AE$2,100,Table1[[#This Row],[Coupon Frequency2]])*Table1[[#This Row],[Face value]]/100</f>
        <v>1013.9975361080783</v>
      </c>
      <c r="AE389" s="28">
        <f>PRICE(Table1[[#This Row],[Issue date]],Table1[[#This Row],[Maturity date]],Table1[[#This Row],[Current coupon %]],Table1[[#This Row],[Yield (Annualised)]]-$AE$2,100,Table1[[#This Row],[Coupon Frequency2]])*Table1[[#This Row],[Face value]]/100</f>
        <v>1066.9533252015267</v>
      </c>
      <c r="AF389" s="28">
        <f>(Table1[[#This Row],[P (+ shock)]]+Table1[[#This Row],[P (-shock)]]-2*Table1[[#This Row],[Ask Price]])/(2*Table1[[#This Row],[Ask Price]]*($AE$2^2))</f>
        <v>4.5714486038701363</v>
      </c>
    </row>
    <row r="390" spans="1:32" x14ac:dyDescent="0.25">
      <c r="A390" s="21" t="s">
        <v>826</v>
      </c>
      <c r="B390" s="3" t="s">
        <v>827</v>
      </c>
      <c r="C390" s="3" t="s">
        <v>19</v>
      </c>
      <c r="D390" s="4">
        <v>45712</v>
      </c>
      <c r="E390" s="4">
        <v>46442</v>
      </c>
      <c r="F390" s="3">
        <v>1000</v>
      </c>
      <c r="G390" s="3" t="s">
        <v>20</v>
      </c>
      <c r="H390" s="3">
        <v>1025</v>
      </c>
      <c r="I390" s="3" t="s">
        <v>20</v>
      </c>
      <c r="J390" s="3">
        <v>102.49999999999901</v>
      </c>
      <c r="K390" s="3">
        <v>20</v>
      </c>
      <c r="L390" s="5">
        <v>9.4E-2</v>
      </c>
      <c r="M390" s="3" t="s">
        <v>21</v>
      </c>
      <c r="N390" s="3">
        <v>525</v>
      </c>
      <c r="O390" s="6">
        <f>Table1[[#This Row],[Current coupon %]]*Table1[[#This Row],[Face value]]/Table1[[#This Row],[Ask Price]]</f>
        <v>9.170731707317073E-2</v>
      </c>
      <c r="P390" s="3"/>
      <c r="Q390" s="3" t="s">
        <v>22</v>
      </c>
      <c r="R390">
        <f t="shared" si="6"/>
        <v>2</v>
      </c>
      <c r="S390" s="22" cm="1">
        <f t="array" ref="S390">_xlfn.IFS(Table1[[#This Row],[Coupon frequency]]="Semi-annual",2,Table1[[#This Row],[Coupon frequency]]="Quarterly",4,Table1[[#This Row],[Coupon frequency]]="Annual",1,Table1[[#This Row],[Coupon frequency]]="Every 4 months",3,Table1[[#This Row],[Coupon frequency]]="Monthly",12)</f>
        <v>1</v>
      </c>
      <c r="T390">
        <f>Table1[[#This Row],[Term to Maturity (Years)]]*Table1[[#This Row],[Coupon Frequency2]]</f>
        <v>2</v>
      </c>
      <c r="U390">
        <f>Table1[[#This Row],[Face value]]*Table1[[#This Row],[Current coupon %]]/Table1[[#This Row],[Coupon Frequency2]]</f>
        <v>94</v>
      </c>
      <c r="V390" s="23">
        <f>RATE(Table1[[#This Row],[Total No. of Coupons]],Table1[[#This Row],[Coupon Amount]],-Table1[[#This Row],[Ask Price]],Table1[[#This Row],[Face value]])</f>
        <v>7.9981131903346783E-2</v>
      </c>
      <c r="W390" s="24">
        <f>Table1[[#This Row],[IRR]]*Table1[[#This Row],[Coupon Frequency2]]</f>
        <v>7.9981131903346783E-2</v>
      </c>
      <c r="X390" s="25" cm="1">
        <f t="array" ref="X39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0" s="26">
        <f>DURATION(Table1[[#This Row],[Issue date]],Table1[[#This Row],[Maturity date]],Table1[[#This Row],[Current coupon %]],Table1[[#This Row],[Yield (Annualised)]],Table1[[#This Row],[Coupon Frequency2]])</f>
        <v>1.9150843340091073</v>
      </c>
      <c r="Z390" s="26">
        <f>Table1[[#This Row],[Macaulay Duration in Years]]/(1+Table1[[#This Row],[IRR]])</f>
        <v>1.773257214812618</v>
      </c>
      <c r="AA390" s="27">
        <f>VLOOKUP(Table1[[#This Row],[Yield Cluster]],'[1]Cluster Details'!$B$3:$C$16,2,0)</f>
        <v>7.8548801574189142E-2</v>
      </c>
      <c r="AB390" s="28">
        <f>PRICE(Table1[[#This Row],[Issue date]],Table1[[#This Row],[Maturity date]],Table1[[#This Row],[Current coupon %]],Table1[[#This Row],[Average Cluster Yield]],100,Table1[[#This Row],[Coupon Frequency2]])*Table1[[#This Row],[Face value]]/100</f>
        <v>1027.6084988973716</v>
      </c>
      <c r="AC390" s="27" t="str">
        <f>IF(Table1[[#This Row],[Ask Price]]&gt;Table1[[#This Row],[Calculated Bond Price]],"Rich","Cheap")</f>
        <v>Cheap</v>
      </c>
      <c r="AD390" s="28">
        <f>PRICE(Table1[[#This Row],[Issue date]],Table1[[#This Row],[Maturity date]],Table1[[#This Row],[Current coupon %]],Table1[[#This Row],[Yield (Annualised)]]+$AE$2,100,Table1[[#This Row],[Coupon Frequency2]])*Table1[[#This Row],[Face value]]/100</f>
        <v>1007.0698167578369</v>
      </c>
      <c r="AE390" s="28">
        <f>PRICE(Table1[[#This Row],[Issue date]],Table1[[#This Row],[Maturity date]],Table1[[#This Row],[Current coupon %]],Table1[[#This Row],[Yield (Annualised)]]-$AE$2,100,Table1[[#This Row],[Coupon Frequency2]])*Table1[[#This Row],[Face value]]/100</f>
        <v>1043.4276856192803</v>
      </c>
      <c r="AF390" s="28">
        <f>(Table1[[#This Row],[P (+ shock)]]+Table1[[#This Row],[P (-shock)]]-2*Table1[[#This Row],[Ask Price]])/(2*Table1[[#This Row],[Ask Price]]*($AE$2^2))</f>
        <v>2.4268408639860661</v>
      </c>
    </row>
    <row r="391" spans="1:32" x14ac:dyDescent="0.25">
      <c r="A391" s="21" t="s">
        <v>828</v>
      </c>
      <c r="B391" s="3" t="s">
        <v>829</v>
      </c>
      <c r="C391" s="3" t="s">
        <v>19</v>
      </c>
      <c r="D391" s="4">
        <v>45538</v>
      </c>
      <c r="E391" s="4">
        <v>48460</v>
      </c>
      <c r="F391" s="3">
        <v>100000</v>
      </c>
      <c r="G391" s="3" t="s">
        <v>20</v>
      </c>
      <c r="H391" s="3">
        <v>101000</v>
      </c>
      <c r="I391" s="3" t="s">
        <v>20</v>
      </c>
      <c r="J391" s="3">
        <v>101</v>
      </c>
      <c r="K391" s="3">
        <v>1</v>
      </c>
      <c r="L391" s="5">
        <v>9.2499999999999999E-2</v>
      </c>
      <c r="M391" s="3" t="s">
        <v>21</v>
      </c>
      <c r="N391" s="3">
        <v>2543</v>
      </c>
      <c r="O391" s="6">
        <f>Table1[[#This Row],[Current coupon %]]*Table1[[#This Row],[Face value]]/Table1[[#This Row],[Ask Price]]</f>
        <v>9.1584158415841582E-2</v>
      </c>
      <c r="P391" s="3"/>
      <c r="Q391" s="3" t="s">
        <v>22</v>
      </c>
      <c r="R391">
        <f t="shared" si="6"/>
        <v>8</v>
      </c>
      <c r="S391" s="22" cm="1">
        <f t="array" ref="S391">_xlfn.IFS(Table1[[#This Row],[Coupon frequency]]="Semi-annual",2,Table1[[#This Row],[Coupon frequency]]="Quarterly",4,Table1[[#This Row],[Coupon frequency]]="Annual",1,Table1[[#This Row],[Coupon frequency]]="Every 4 months",3,Table1[[#This Row],[Coupon frequency]]="Monthly",12)</f>
        <v>1</v>
      </c>
      <c r="T391">
        <f>Table1[[#This Row],[Term to Maturity (Years)]]*Table1[[#This Row],[Coupon Frequency2]]</f>
        <v>8</v>
      </c>
      <c r="U391">
        <f>Table1[[#This Row],[Face value]]*Table1[[#This Row],[Current coupon %]]/Table1[[#This Row],[Coupon Frequency2]]</f>
        <v>9250</v>
      </c>
      <c r="V391" s="23">
        <f>RATE(Table1[[#This Row],[Total No. of Coupons]],Table1[[#This Row],[Coupon Amount]],-Table1[[#This Row],[Ask Price]],Table1[[#This Row],[Face value]])</f>
        <v>9.0688629423676073E-2</v>
      </c>
      <c r="W391" s="24">
        <f>Table1[[#This Row],[IRR]]*Table1[[#This Row],[Coupon Frequency2]]</f>
        <v>9.0688629423676073E-2</v>
      </c>
      <c r="X391" s="25" cm="1">
        <f t="array" ref="X39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1" s="26">
        <f>DURATION(Table1[[#This Row],[Issue date]],Table1[[#This Row],[Maturity date]],Table1[[#This Row],[Current coupon %]],Table1[[#This Row],[Yield (Annualised)]],Table1[[#This Row],[Coupon Frequency2]])</f>
        <v>6.0018057606352295</v>
      </c>
      <c r="Z391" s="26">
        <f>Table1[[#This Row],[Macaulay Duration in Years]]/(1+Table1[[#This Row],[IRR]])</f>
        <v>5.5027673331541056</v>
      </c>
      <c r="AA391" s="27">
        <f>VLOOKUP(Table1[[#This Row],[Yield Cluster]],'[1]Cluster Details'!$B$3:$C$16,2,0)</f>
        <v>7.8548801574189142E-2</v>
      </c>
      <c r="AB391" s="28">
        <f>PRICE(Table1[[#This Row],[Issue date]],Table1[[#This Row],[Maturity date]],Table1[[#This Row],[Current coupon %]],Table1[[#This Row],[Average Cluster Yield]],100,Table1[[#This Row],[Coupon Frequency2]])*Table1[[#This Row],[Face value]]/100</f>
        <v>108061.59178306826</v>
      </c>
      <c r="AC391" s="27" t="str">
        <f>IF(Table1[[#This Row],[Ask Price]]&gt;Table1[[#This Row],[Calculated Bond Price]],"Rich","Cheap")</f>
        <v>Cheap</v>
      </c>
      <c r="AD391" s="28">
        <f>PRICE(Table1[[#This Row],[Issue date]],Table1[[#This Row],[Maturity date]],Table1[[#This Row],[Current coupon %]],Table1[[#This Row],[Yield (Annualised)]]+$AE$2,100,Table1[[#This Row],[Coupon Frequency2]])*Table1[[#This Row],[Face value]]/100</f>
        <v>95642.356775400505</v>
      </c>
      <c r="AE391" s="28">
        <f>PRICE(Table1[[#This Row],[Issue date]],Table1[[#This Row],[Maturity date]],Table1[[#This Row],[Current coupon %]],Table1[[#This Row],[Yield (Annualised)]]-$AE$2,100,Table1[[#This Row],[Coupon Frequency2]])*Table1[[#This Row],[Face value]]/100</f>
        <v>106769.86613777281</v>
      </c>
      <c r="AF391" s="28">
        <f>(Table1[[#This Row],[P (+ shock)]]+Table1[[#This Row],[P (-shock)]]-2*Table1[[#This Row],[Ask Price]])/(2*Table1[[#This Row],[Ask Price]]*($AE$2^2))</f>
        <v>20.407074909570216</v>
      </c>
    </row>
    <row r="392" spans="1:32" x14ac:dyDescent="0.25">
      <c r="A392" s="21" t="s">
        <v>830</v>
      </c>
      <c r="B392" s="3" t="s">
        <v>831</v>
      </c>
      <c r="C392" s="3" t="s">
        <v>19</v>
      </c>
      <c r="D392" s="4">
        <v>43258</v>
      </c>
      <c r="E392" s="4">
        <v>46911</v>
      </c>
      <c r="F392" s="3">
        <v>1000</v>
      </c>
      <c r="G392" s="3" t="s">
        <v>20</v>
      </c>
      <c r="H392" s="3">
        <v>1065</v>
      </c>
      <c r="I392" s="3" t="s">
        <v>20</v>
      </c>
      <c r="J392" s="3">
        <v>106.5</v>
      </c>
      <c r="K392" s="3">
        <v>150</v>
      </c>
      <c r="L392" s="5">
        <v>9.7500000000000003E-2</v>
      </c>
      <c r="M392" s="3" t="s">
        <v>21</v>
      </c>
      <c r="N392" s="3">
        <v>994</v>
      </c>
      <c r="O392" s="6">
        <f>Table1[[#This Row],[Current coupon %]]*Table1[[#This Row],[Face value]]/Table1[[#This Row],[Ask Price]]</f>
        <v>9.154929577464789E-2</v>
      </c>
      <c r="P392" s="3"/>
      <c r="Q392" s="3" t="s">
        <v>22</v>
      </c>
      <c r="R392">
        <f t="shared" si="6"/>
        <v>10</v>
      </c>
      <c r="S392" s="22" cm="1">
        <f t="array" ref="S392">_xlfn.IFS(Table1[[#This Row],[Coupon frequency]]="Semi-annual",2,Table1[[#This Row],[Coupon frequency]]="Quarterly",4,Table1[[#This Row],[Coupon frequency]]="Annual",1,Table1[[#This Row],[Coupon frequency]]="Every 4 months",3,Table1[[#This Row],[Coupon frequency]]="Monthly",12)</f>
        <v>1</v>
      </c>
      <c r="T392">
        <f>Table1[[#This Row],[Term to Maturity (Years)]]*Table1[[#This Row],[Coupon Frequency2]]</f>
        <v>10</v>
      </c>
      <c r="U392">
        <f>Table1[[#This Row],[Face value]]*Table1[[#This Row],[Current coupon %]]/Table1[[#This Row],[Coupon Frequency2]]</f>
        <v>97.5</v>
      </c>
      <c r="V392" s="23">
        <f>RATE(Table1[[#This Row],[Total No. of Coupons]],Table1[[#This Row],[Coupon Amount]],-Table1[[#This Row],[Ask Price]],Table1[[#This Row],[Face value]])</f>
        <v>8.7483599811574969E-2</v>
      </c>
      <c r="W392" s="24">
        <f>Table1[[#This Row],[IRR]]*Table1[[#This Row],[Coupon Frequency2]]</f>
        <v>8.7483599811574969E-2</v>
      </c>
      <c r="X392" s="25" cm="1">
        <f t="array" ref="X39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2" s="26">
        <f>DURATION(Table1[[#This Row],[Issue date]],Table1[[#This Row],[Maturity date]],Table1[[#This Row],[Current coupon %]],Table1[[#This Row],[Yield (Annualised)]],Table1[[#This Row],[Coupon Frequency2]])</f>
        <v>6.9203004944404904</v>
      </c>
      <c r="Z392" s="26">
        <f>Table1[[#This Row],[Macaulay Duration in Years]]/(1+Table1[[#This Row],[IRR]])</f>
        <v>6.363590674507229</v>
      </c>
      <c r="AA392" s="27">
        <f>VLOOKUP(Table1[[#This Row],[Yield Cluster]],'[1]Cluster Details'!$B$3:$C$16,2,0)</f>
        <v>7.8548801574189142E-2</v>
      </c>
      <c r="AB392" s="28">
        <f>PRICE(Table1[[#This Row],[Issue date]],Table1[[#This Row],[Maturity date]],Table1[[#This Row],[Current coupon %]],Table1[[#This Row],[Average Cluster Yield]],100,Table1[[#This Row],[Coupon Frequency2]])*Table1[[#This Row],[Face value]]/100</f>
        <v>1128.0006692395891</v>
      </c>
      <c r="AC392" s="27" t="str">
        <f>IF(Table1[[#This Row],[Ask Price]]&gt;Table1[[#This Row],[Calculated Bond Price]],"Rich","Cheap")</f>
        <v>Cheap</v>
      </c>
      <c r="AD392" s="28">
        <f>PRICE(Table1[[#This Row],[Issue date]],Table1[[#This Row],[Maturity date]],Table1[[#This Row],[Current coupon %]],Table1[[#This Row],[Yield (Annualised)]]+$AE$2,100,Table1[[#This Row],[Coupon Frequency2]])*Table1[[#This Row],[Face value]]/100</f>
        <v>1000.1018706968824</v>
      </c>
      <c r="AE392" s="28">
        <f>PRICE(Table1[[#This Row],[Issue date]],Table1[[#This Row],[Maturity date]],Table1[[#This Row],[Current coupon %]],Table1[[#This Row],[Yield (Annualised)]]-$AE$2,100,Table1[[#This Row],[Coupon Frequency2]])*Table1[[#This Row],[Face value]]/100</f>
        <v>1135.849579162702</v>
      </c>
      <c r="AF392" s="28">
        <f>(Table1[[#This Row],[P (+ shock)]]+Table1[[#This Row],[P (-shock)]]-2*Table1[[#This Row],[Ask Price]])/(2*Table1[[#This Row],[Ask Price]]*($AE$2^2))</f>
        <v>27.941079152978869</v>
      </c>
    </row>
    <row r="393" spans="1:32" x14ac:dyDescent="0.25">
      <c r="A393" s="21" t="s">
        <v>832</v>
      </c>
      <c r="B393" s="3" t="s">
        <v>833</v>
      </c>
      <c r="C393" s="3" t="s">
        <v>19</v>
      </c>
      <c r="D393" s="4">
        <v>45349</v>
      </c>
      <c r="E393" s="4">
        <v>46169</v>
      </c>
      <c r="F393" s="3">
        <v>1000</v>
      </c>
      <c r="G393" s="3" t="s">
        <v>20</v>
      </c>
      <c r="H393" s="3">
        <v>1055</v>
      </c>
      <c r="I393" s="3" t="s">
        <v>20</v>
      </c>
      <c r="J393" s="3">
        <v>105.5</v>
      </c>
      <c r="K393" s="3">
        <v>21</v>
      </c>
      <c r="L393" s="5">
        <v>0.11</v>
      </c>
      <c r="M393" s="3" t="s">
        <v>21</v>
      </c>
      <c r="N393" s="3">
        <v>252</v>
      </c>
      <c r="O393" s="6">
        <f>Table1[[#This Row],[Current coupon %]]*Table1[[#This Row],[Face value]]/Table1[[#This Row],[Ask Price]]</f>
        <v>0.10426540284360189</v>
      </c>
      <c r="P393" s="3"/>
      <c r="Q393" s="3" t="s">
        <v>22</v>
      </c>
      <c r="R393">
        <f t="shared" si="6"/>
        <v>2</v>
      </c>
      <c r="S393" s="22" cm="1">
        <f t="array" ref="S393">_xlfn.IFS(Table1[[#This Row],[Coupon frequency]]="Semi-annual",2,Table1[[#This Row],[Coupon frequency]]="Quarterly",4,Table1[[#This Row],[Coupon frequency]]="Annual",1,Table1[[#This Row],[Coupon frequency]]="Every 4 months",3,Table1[[#This Row],[Coupon frequency]]="Monthly",12)</f>
        <v>1</v>
      </c>
      <c r="T393">
        <f>Table1[[#This Row],[Term to Maturity (Years)]]*Table1[[#This Row],[Coupon Frequency2]]</f>
        <v>2</v>
      </c>
      <c r="U393">
        <f>Table1[[#This Row],[Face value]]*Table1[[#This Row],[Current coupon %]]/Table1[[#This Row],[Coupon Frequency2]]</f>
        <v>110</v>
      </c>
      <c r="V393" s="23">
        <f>RATE(Table1[[#This Row],[Total No. of Coupons]],Table1[[#This Row],[Coupon Amount]],-Table1[[#This Row],[Ask Price]],Table1[[#This Row],[Face value]])</f>
        <v>7.9191862317285144E-2</v>
      </c>
      <c r="W393" s="24">
        <f>Table1[[#This Row],[IRR]]*Table1[[#This Row],[Coupon Frequency2]]</f>
        <v>7.9191862317285144E-2</v>
      </c>
      <c r="X393" s="25" cm="1">
        <f t="array" ref="X39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3" s="26">
        <f>DURATION(Table1[[#This Row],[Issue date]],Table1[[#This Row],[Maturity date]],Table1[[#This Row],[Current coupon %]],Table1[[#This Row],[Yield (Annualised)]],Table1[[#This Row],[Coupon Frequency2]])</f>
        <v>1.9736668479125228</v>
      </c>
      <c r="Z393" s="26">
        <f>Table1[[#This Row],[Macaulay Duration in Years]]/(1+Table1[[#This Row],[IRR]])</f>
        <v>1.8288377783674019</v>
      </c>
      <c r="AA393" s="27">
        <f>VLOOKUP(Table1[[#This Row],[Yield Cluster]],'[1]Cluster Details'!$B$3:$C$16,2,0)</f>
        <v>7.8548801574189142E-2</v>
      </c>
      <c r="AB393" s="28">
        <f>PRICE(Table1[[#This Row],[Issue date]],Table1[[#This Row],[Maturity date]],Table1[[#This Row],[Current coupon %]],Table1[[#This Row],[Average Cluster Yield]],100,Table1[[#This Row],[Coupon Frequency2]])*Table1[[#This Row],[Face value]]/100</f>
        <v>1061.8587529417894</v>
      </c>
      <c r="AC393" s="27" t="str">
        <f>IF(Table1[[#This Row],[Ask Price]]&gt;Table1[[#This Row],[Calculated Bond Price]],"Rich","Cheap")</f>
        <v>Cheap</v>
      </c>
      <c r="AD393" s="28">
        <f>PRICE(Table1[[#This Row],[Issue date]],Table1[[#This Row],[Maturity date]],Table1[[#This Row],[Current coupon %]],Table1[[#This Row],[Yield (Annualised)]]+$AE$2,100,Table1[[#This Row],[Coupon Frequency2]])*Table1[[#This Row],[Face value]]/100</f>
        <v>1039.9125197664443</v>
      </c>
      <c r="AE393" s="28">
        <f>PRICE(Table1[[#This Row],[Issue date]],Table1[[#This Row],[Maturity date]],Table1[[#This Row],[Current coupon %]],Table1[[#This Row],[Yield (Annualised)]]-$AE$2,100,Table1[[#This Row],[Coupon Frequency2]])*Table1[[#This Row],[Face value]]/100</f>
        <v>1081.728206263374</v>
      </c>
      <c r="AF393" s="28">
        <f>(Table1[[#This Row],[P (+ shock)]]+Table1[[#This Row],[P (-shock)]]-2*Table1[[#This Row],[Ask Price]])/(2*Table1[[#This Row],[Ask Price]]*($AE$2^2))</f>
        <v>55.16931767686409</v>
      </c>
    </row>
    <row r="394" spans="1:32" x14ac:dyDescent="0.25">
      <c r="A394" s="21" t="s">
        <v>834</v>
      </c>
      <c r="B394" s="3" t="s">
        <v>835</v>
      </c>
      <c r="C394" s="3" t="s">
        <v>19</v>
      </c>
      <c r="D394" s="4">
        <v>45377</v>
      </c>
      <c r="E394" s="4">
        <v>46107</v>
      </c>
      <c r="F394" s="3">
        <v>1000</v>
      </c>
      <c r="G394" s="3" t="s">
        <v>20</v>
      </c>
      <c r="H394" s="3">
        <v>1034</v>
      </c>
      <c r="I394" s="3" t="s">
        <v>20</v>
      </c>
      <c r="J394" s="3">
        <v>103.4</v>
      </c>
      <c r="K394" s="3">
        <v>46</v>
      </c>
      <c r="L394" s="5">
        <v>9.6500000000000002E-2</v>
      </c>
      <c r="M394" s="3" t="s">
        <v>21</v>
      </c>
      <c r="N394" s="3">
        <v>190</v>
      </c>
      <c r="O394" s="6">
        <f>Table1[[#This Row],[Current coupon %]]*Table1[[#This Row],[Face value]]/Table1[[#This Row],[Ask Price]]</f>
        <v>9.332688588007737E-2</v>
      </c>
      <c r="P394" s="3" t="s">
        <v>25</v>
      </c>
      <c r="Q394" s="3" t="s">
        <v>22</v>
      </c>
      <c r="R394">
        <f t="shared" si="6"/>
        <v>2</v>
      </c>
      <c r="S394" s="22" cm="1">
        <f t="array" ref="S394">_xlfn.IFS(Table1[[#This Row],[Coupon frequency]]="Semi-annual",2,Table1[[#This Row],[Coupon frequency]]="Quarterly",4,Table1[[#This Row],[Coupon frequency]]="Annual",1,Table1[[#This Row],[Coupon frequency]]="Every 4 months",3,Table1[[#This Row],[Coupon frequency]]="Monthly",12)</f>
        <v>1</v>
      </c>
      <c r="T394">
        <f>Table1[[#This Row],[Term to Maturity (Years)]]*Table1[[#This Row],[Coupon Frequency2]]</f>
        <v>2</v>
      </c>
      <c r="U394">
        <f>Table1[[#This Row],[Face value]]*Table1[[#This Row],[Current coupon %]]/Table1[[#This Row],[Coupon Frequency2]]</f>
        <v>96.5</v>
      </c>
      <c r="V394" s="23">
        <f>RATE(Table1[[#This Row],[Total No. of Coupons]],Table1[[#This Row],[Coupon Amount]],-Table1[[#This Row],[Ask Price]],Table1[[#This Row],[Face value]])</f>
        <v>7.7499196676627302E-2</v>
      </c>
      <c r="W394" s="24">
        <f>Table1[[#This Row],[IRR]]*Table1[[#This Row],[Coupon Frequency2]]</f>
        <v>7.7499196676627302E-2</v>
      </c>
      <c r="X394" s="25" cm="1">
        <f t="array" ref="X39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4" s="26">
        <f>DURATION(Table1[[#This Row],[Issue date]],Table1[[#This Row],[Maturity date]],Table1[[#This Row],[Current coupon %]],Table1[[#This Row],[Yield (Annualised)]],Table1[[#This Row],[Coupon Frequency2]])</f>
        <v>1.9133856561861675</v>
      </c>
      <c r="Z394" s="26">
        <f>Table1[[#This Row],[Macaulay Duration in Years]]/(1+Table1[[#This Row],[IRR]])</f>
        <v>1.7757652739674397</v>
      </c>
      <c r="AA394" s="27">
        <f>VLOOKUP(Table1[[#This Row],[Yield Cluster]],'[1]Cluster Details'!$B$3:$C$16,2,0)</f>
        <v>7.8548801574189142E-2</v>
      </c>
      <c r="AB394" s="28">
        <f>PRICE(Table1[[#This Row],[Issue date]],Table1[[#This Row],[Maturity date]],Table1[[#This Row],[Current coupon %]],Table1[[#This Row],[Average Cluster Yield]],100,Table1[[#This Row],[Coupon Frequency2]])*Table1[[#This Row],[Face value]]/100</f>
        <v>1032.0755470409078</v>
      </c>
      <c r="AC394" s="27" t="str">
        <f>IF(Table1[[#This Row],[Ask Price]]&gt;Table1[[#This Row],[Calculated Bond Price]],"Rich","Cheap")</f>
        <v>Rich</v>
      </c>
      <c r="AD394" s="28">
        <f>PRICE(Table1[[#This Row],[Issue date]],Table1[[#This Row],[Maturity date]],Table1[[#This Row],[Current coupon %]],Table1[[#This Row],[Yield (Annualised)]]+$AE$2,100,Table1[[#This Row],[Coupon Frequency2]])*Table1[[#This Row],[Face value]]/100</f>
        <v>1015.8872854776611</v>
      </c>
      <c r="AE394" s="28">
        <f>PRICE(Table1[[#This Row],[Issue date]],Table1[[#This Row],[Maturity date]],Table1[[#This Row],[Current coupon %]],Table1[[#This Row],[Yield (Annualised)]]-$AE$2,100,Table1[[#This Row],[Coupon Frequency2]])*Table1[[#This Row],[Face value]]/100</f>
        <v>1052.6162949972686</v>
      </c>
      <c r="AF394" s="28">
        <f>(Table1[[#This Row],[P (+ shock)]]+Table1[[#This Row],[P (-shock)]]-2*Table1[[#This Row],[Ask Price]])/(2*Table1[[#This Row],[Ask Price]]*($AE$2^2))</f>
        <v>2.4351086795432755</v>
      </c>
    </row>
    <row r="395" spans="1:32" x14ac:dyDescent="0.25">
      <c r="A395" s="21" t="s">
        <v>836</v>
      </c>
      <c r="B395" s="3" t="s">
        <v>837</v>
      </c>
      <c r="C395" s="3" t="s">
        <v>19</v>
      </c>
      <c r="D395" s="4">
        <v>45785</v>
      </c>
      <c r="E395" s="4">
        <v>46973</v>
      </c>
      <c r="F395" s="3">
        <v>100000</v>
      </c>
      <c r="G395" s="3" t="s">
        <v>20</v>
      </c>
      <c r="H395" s="3">
        <v>100457.62</v>
      </c>
      <c r="I395" s="3" t="s">
        <v>20</v>
      </c>
      <c r="J395" s="3">
        <v>100.45762000000001</v>
      </c>
      <c r="K395" s="3">
        <v>5</v>
      </c>
      <c r="L395" s="5">
        <v>9.1899999999999996E-2</v>
      </c>
      <c r="M395" s="3" t="s">
        <v>21</v>
      </c>
      <c r="N395" s="3">
        <v>1056</v>
      </c>
      <c r="O395" s="6">
        <f>Table1[[#This Row],[Current coupon %]]*Table1[[#This Row],[Face value]]/Table1[[#This Row],[Ask Price]]</f>
        <v>9.148136298670026E-2</v>
      </c>
      <c r="P395" s="3"/>
      <c r="Q395" s="3" t="s">
        <v>22</v>
      </c>
      <c r="R395">
        <f t="shared" si="6"/>
        <v>3</v>
      </c>
      <c r="S395" s="22" cm="1">
        <f t="array" ref="S395">_xlfn.IFS(Table1[[#This Row],[Coupon frequency]]="Semi-annual",2,Table1[[#This Row],[Coupon frequency]]="Quarterly",4,Table1[[#This Row],[Coupon frequency]]="Annual",1,Table1[[#This Row],[Coupon frequency]]="Every 4 months",3,Table1[[#This Row],[Coupon frequency]]="Monthly",12)</f>
        <v>1</v>
      </c>
      <c r="T395">
        <f>Table1[[#This Row],[Term to Maturity (Years)]]*Table1[[#This Row],[Coupon Frequency2]]</f>
        <v>3</v>
      </c>
      <c r="U395">
        <f>Table1[[#This Row],[Face value]]*Table1[[#This Row],[Current coupon %]]/Table1[[#This Row],[Coupon Frequency2]]</f>
        <v>9190</v>
      </c>
      <c r="V395" s="23">
        <f>RATE(Table1[[#This Row],[Total No. of Coupons]],Table1[[#This Row],[Coupon Amount]],-Table1[[#This Row],[Ask Price]],Table1[[#This Row],[Face value]])</f>
        <v>9.0091854458362861E-2</v>
      </c>
      <c r="W395" s="24">
        <f>Table1[[#This Row],[IRR]]*Table1[[#This Row],[Coupon Frequency2]]</f>
        <v>9.0091854458362861E-2</v>
      </c>
      <c r="X395" s="25" cm="1">
        <f t="array" ref="X39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5" s="26">
        <f>DURATION(Table1[[#This Row],[Issue date]],Table1[[#This Row],[Maturity date]],Table1[[#This Row],[Current coupon %]],Table1[[#This Row],[Yield (Annualised)]],Table1[[#This Row],[Coupon Frequency2]])</f>
        <v>2.7742514148293886</v>
      </c>
      <c r="Z395" s="26">
        <f>Table1[[#This Row],[Macaulay Duration in Years]]/(1+Table1[[#This Row],[IRR]])</f>
        <v>2.5449703192285931</v>
      </c>
      <c r="AA395" s="27">
        <f>VLOOKUP(Table1[[#This Row],[Yield Cluster]],'[1]Cluster Details'!$B$3:$C$16,2,0)</f>
        <v>7.8548801574189142E-2</v>
      </c>
      <c r="AB395" s="28">
        <f>PRICE(Table1[[#This Row],[Issue date]],Table1[[#This Row],[Maturity date]],Table1[[#This Row],[Current coupon %]],Table1[[#This Row],[Average Cluster Yield]],100,Table1[[#This Row],[Coupon Frequency2]])*Table1[[#This Row],[Face value]]/100</f>
        <v>103637.9091502373</v>
      </c>
      <c r="AC395" s="27" t="str">
        <f>IF(Table1[[#This Row],[Ask Price]]&gt;Table1[[#This Row],[Calculated Bond Price]],"Rich","Cheap")</f>
        <v>Cheap</v>
      </c>
      <c r="AD395" s="28">
        <f>PRICE(Table1[[#This Row],[Issue date]],Table1[[#This Row],[Maturity date]],Table1[[#This Row],[Current coupon %]],Table1[[#This Row],[Yield (Annualised)]]+$AE$2,100,Table1[[#This Row],[Coupon Frequency2]])*Table1[[#This Row],[Face value]]/100</f>
        <v>97735.434145852138</v>
      </c>
      <c r="AE395" s="28">
        <f>PRICE(Table1[[#This Row],[Issue date]],Table1[[#This Row],[Maturity date]],Table1[[#This Row],[Current coupon %]],Table1[[#This Row],[Yield (Annualised)]]-$AE$2,100,Table1[[#This Row],[Coupon Frequency2]])*Table1[[#This Row],[Face value]]/100</f>
        <v>103198.9856960387</v>
      </c>
      <c r="AF395" s="28">
        <f>(Table1[[#This Row],[P (+ shock)]]+Table1[[#This Row],[P (-shock)]]-2*Table1[[#This Row],[Ask Price]])/(2*Table1[[#This Row],[Ask Price]]*($AE$2^2))</f>
        <v>0.95462354626975132</v>
      </c>
    </row>
    <row r="396" spans="1:32" x14ac:dyDescent="0.25">
      <c r="A396" s="21" t="s">
        <v>838</v>
      </c>
      <c r="B396" s="3" t="s">
        <v>839</v>
      </c>
      <c r="C396" s="3" t="s">
        <v>19</v>
      </c>
      <c r="D396" s="4">
        <v>44841</v>
      </c>
      <c r="E396" s="4">
        <v>48295</v>
      </c>
      <c r="F396" s="3">
        <v>1000000</v>
      </c>
      <c r="G396" s="3" t="s">
        <v>20</v>
      </c>
      <c r="H396" s="3">
        <v>1087890</v>
      </c>
      <c r="I396" s="3" t="s">
        <v>20</v>
      </c>
      <c r="J396" s="3">
        <v>108.789</v>
      </c>
      <c r="K396" s="3">
        <v>2</v>
      </c>
      <c r="L396" s="5">
        <v>9.9499999999999991E-2</v>
      </c>
      <c r="M396" s="3" t="s">
        <v>44</v>
      </c>
      <c r="N396" s="3">
        <v>2378</v>
      </c>
      <c r="O396" s="6">
        <f>Table1[[#This Row],[Current coupon %]]*Table1[[#This Row],[Face value]]/Table1[[#This Row],[Ask Price]]</f>
        <v>9.1461452904245816E-2</v>
      </c>
      <c r="P396" s="3"/>
      <c r="Q396" s="3" t="s">
        <v>22</v>
      </c>
      <c r="R396">
        <f t="shared" si="6"/>
        <v>9</v>
      </c>
      <c r="S396" s="22" cm="1">
        <f t="array" ref="S396">_xlfn.IFS(Table1[[#This Row],[Coupon frequency]]="Semi-annual",2,Table1[[#This Row],[Coupon frequency]]="Quarterly",4,Table1[[#This Row],[Coupon frequency]]="Annual",1,Table1[[#This Row],[Coupon frequency]]="Every 4 months",3,Table1[[#This Row],[Coupon frequency]]="Monthly",12)</f>
        <v>4</v>
      </c>
      <c r="T396">
        <f>Table1[[#This Row],[Term to Maturity (Years)]]*Table1[[#This Row],[Coupon Frequency2]]</f>
        <v>36</v>
      </c>
      <c r="U396">
        <f>Table1[[#This Row],[Face value]]*Table1[[#This Row],[Current coupon %]]/Table1[[#This Row],[Coupon Frequency2]]</f>
        <v>24874.999999999996</v>
      </c>
      <c r="V396" s="23">
        <f>RATE(Table1[[#This Row],[Total No. of Coupons]],Table1[[#This Row],[Coupon Amount]],-Table1[[#This Row],[Ask Price]],Table1[[#This Row],[Face value]])</f>
        <v>2.135153820469006E-2</v>
      </c>
      <c r="W396" s="24">
        <f>Table1[[#This Row],[IRR]]*Table1[[#This Row],[Coupon Frequency2]]</f>
        <v>8.5406152818760239E-2</v>
      </c>
      <c r="X396" s="25" cm="1">
        <f t="array" ref="X39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6" s="26">
        <f>DURATION(Table1[[#This Row],[Issue date]],Table1[[#This Row],[Maturity date]],Table1[[#This Row],[Current coupon %]],Table1[[#This Row],[Yield (Annualised)]],Table1[[#This Row],[Coupon Frequency2]])</f>
        <v>6.3623002230307142</v>
      </c>
      <c r="Z396" s="26">
        <f>Table1[[#This Row],[Macaulay Duration in Years]]/(1+Table1[[#This Row],[IRR]])</f>
        <v>6.2292951888183667</v>
      </c>
      <c r="AA396" s="27">
        <f>VLOOKUP(Table1[[#This Row],[Yield Cluster]],'[1]Cluster Details'!$B$3:$C$16,2,0)</f>
        <v>7.8548801574189142E-2</v>
      </c>
      <c r="AB396" s="28">
        <f>PRICE(Table1[[#This Row],[Issue date]],Table1[[#This Row],[Maturity date]],Table1[[#This Row],[Current coupon %]],Table1[[#This Row],[Average Cluster Yield]],100,Table1[[#This Row],[Coupon Frequency2]])*Table1[[#This Row],[Face value]]/100</f>
        <v>1138891.8085072655</v>
      </c>
      <c r="AC396" s="27" t="str">
        <f>IF(Table1[[#This Row],[Ask Price]]&gt;Table1[[#This Row],[Calculated Bond Price]],"Rich","Cheap")</f>
        <v>Cheap</v>
      </c>
      <c r="AD396" s="28">
        <f>PRICE(Table1[[#This Row],[Issue date]],Table1[[#This Row],[Maturity date]],Table1[[#This Row],[Current coupon %]],Table1[[#This Row],[Yield (Annualised)]]+$AE$2,100,Table1[[#This Row],[Coupon Frequency2]])*Table1[[#This Row],[Face value]]/100</f>
        <v>1025279.4681483924</v>
      </c>
      <c r="AE396" s="28">
        <f>PRICE(Table1[[#This Row],[Issue date]],Table1[[#This Row],[Maturity date]],Table1[[#This Row],[Current coupon %]],Table1[[#This Row],[Yield (Annualised)]]-$AE$2,100,Table1[[#This Row],[Coupon Frequency2]])*Table1[[#This Row],[Face value]]/100</f>
        <v>1161859.5381584472</v>
      </c>
      <c r="AF396" s="28">
        <f>(Table1[[#This Row],[P (+ shock)]]+Table1[[#This Row],[P (-shock)]]-2*Table1[[#This Row],[Ask Price]])/(2*Table1[[#This Row],[Ask Price]]*($AE$2^2))</f>
        <v>52.206593988544988</v>
      </c>
    </row>
    <row r="397" spans="1:32" x14ac:dyDescent="0.25">
      <c r="A397" s="21" t="s">
        <v>840</v>
      </c>
      <c r="B397" s="3" t="s">
        <v>841</v>
      </c>
      <c r="C397" s="3" t="s">
        <v>19</v>
      </c>
      <c r="D397" s="4">
        <v>44558</v>
      </c>
      <c r="E397" s="4">
        <v>46384</v>
      </c>
      <c r="F397" s="3">
        <v>1000</v>
      </c>
      <c r="G397" s="3" t="s">
        <v>20</v>
      </c>
      <c r="H397" s="3">
        <v>1045</v>
      </c>
      <c r="I397" s="3" t="s">
        <v>20</v>
      </c>
      <c r="J397" s="3">
        <v>104.5</v>
      </c>
      <c r="K397" s="3">
        <v>3</v>
      </c>
      <c r="L397" s="5">
        <v>9.5500000000000002E-2</v>
      </c>
      <c r="M397" s="3" t="s">
        <v>21</v>
      </c>
      <c r="N397" s="3">
        <v>467</v>
      </c>
      <c r="O397" s="6">
        <f>Table1[[#This Row],[Current coupon %]]*Table1[[#This Row],[Face value]]/Table1[[#This Row],[Ask Price]]</f>
        <v>9.1387559808612434E-2</v>
      </c>
      <c r="P397" s="3"/>
      <c r="Q397" s="3" t="s">
        <v>22</v>
      </c>
      <c r="R397">
        <f t="shared" si="6"/>
        <v>5</v>
      </c>
      <c r="S397" s="22" cm="1">
        <f t="array" ref="S397">_xlfn.IFS(Table1[[#This Row],[Coupon frequency]]="Semi-annual",2,Table1[[#This Row],[Coupon frequency]]="Quarterly",4,Table1[[#This Row],[Coupon frequency]]="Annual",1,Table1[[#This Row],[Coupon frequency]]="Every 4 months",3,Table1[[#This Row],[Coupon frequency]]="Monthly",12)</f>
        <v>1</v>
      </c>
      <c r="T397">
        <f>Table1[[#This Row],[Term to Maturity (Years)]]*Table1[[#This Row],[Coupon Frequency2]]</f>
        <v>5</v>
      </c>
      <c r="U397">
        <f>Table1[[#This Row],[Face value]]*Table1[[#This Row],[Current coupon %]]/Table1[[#This Row],[Coupon Frequency2]]</f>
        <v>95.5</v>
      </c>
      <c r="V397" s="23">
        <f>RATE(Table1[[#This Row],[Total No. of Coupons]],Table1[[#This Row],[Coupon Amount]],-Table1[[#This Row],[Ask Price]],Table1[[#This Row],[Face value]])</f>
        <v>8.4107189978720368E-2</v>
      </c>
      <c r="W397" s="24">
        <f>Table1[[#This Row],[IRR]]*Table1[[#This Row],[Coupon Frequency2]]</f>
        <v>8.4107189978720368E-2</v>
      </c>
      <c r="X397" s="25" cm="1">
        <f t="array" ref="X39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7" s="26">
        <f>DURATION(Table1[[#This Row],[Issue date]],Table1[[#This Row],[Maturity date]],Table1[[#This Row],[Current coupon %]],Table1[[#This Row],[Yield (Annualised)]],Table1[[#This Row],[Coupon Frequency2]])</f>
        <v>4.2199268310886611</v>
      </c>
      <c r="Z397" s="26">
        <f>Table1[[#This Row],[Macaulay Duration in Years]]/(1+Table1[[#This Row],[IRR]])</f>
        <v>3.8925365223078101</v>
      </c>
      <c r="AA397" s="27">
        <f>VLOOKUP(Table1[[#This Row],[Yield Cluster]],'[1]Cluster Details'!$B$3:$C$16,2,0)</f>
        <v>7.8548801574189142E-2</v>
      </c>
      <c r="AB397" s="28">
        <f>PRICE(Table1[[#This Row],[Issue date]],Table1[[#This Row],[Maturity date]],Table1[[#This Row],[Current coupon %]],Table1[[#This Row],[Average Cluster Yield]],100,Table1[[#This Row],[Coupon Frequency2]])*Table1[[#This Row],[Face value]]/100</f>
        <v>1067.9408802618509</v>
      </c>
      <c r="AC397" s="27" t="str">
        <f>IF(Table1[[#This Row],[Ask Price]]&gt;Table1[[#This Row],[Calculated Bond Price]],"Rich","Cheap")</f>
        <v>Cheap</v>
      </c>
      <c r="AD397" s="28">
        <f>PRICE(Table1[[#This Row],[Issue date]],Table1[[#This Row],[Maturity date]],Table1[[#This Row],[Current coupon %]],Table1[[#This Row],[Yield (Annualised)]]+$AE$2,100,Table1[[#This Row],[Coupon Frequency2]])*Table1[[#This Row],[Face value]]/100</f>
        <v>1005.3603003787678</v>
      </c>
      <c r="AE397" s="28">
        <f>PRICE(Table1[[#This Row],[Issue date]],Table1[[#This Row],[Maturity date]],Table1[[#This Row],[Current coupon %]],Table1[[#This Row],[Yield (Annualised)]]-$AE$2,100,Table1[[#This Row],[Coupon Frequency2]])*Table1[[#This Row],[Face value]]/100</f>
        <v>1086.7585136430728</v>
      </c>
      <c r="AF397" s="28">
        <f>(Table1[[#This Row],[P (+ shock)]]+Table1[[#This Row],[P (-shock)]]-2*Table1[[#This Row],[Ask Price]])/(2*Table1[[#This Row],[Ask Price]]*($AE$2^2))</f>
        <v>10.137866133208302</v>
      </c>
    </row>
    <row r="398" spans="1:32" x14ac:dyDescent="0.25">
      <c r="A398" s="21" t="s">
        <v>842</v>
      </c>
      <c r="B398" s="3" t="s">
        <v>843</v>
      </c>
      <c r="C398" s="3" t="s">
        <v>19</v>
      </c>
      <c r="D398" s="4">
        <v>45551</v>
      </c>
      <c r="E398" s="4">
        <v>46646</v>
      </c>
      <c r="F398" s="3">
        <v>1000</v>
      </c>
      <c r="G398" s="3" t="s">
        <v>20</v>
      </c>
      <c r="H398" s="3">
        <v>1049.99</v>
      </c>
      <c r="I398" s="3" t="s">
        <v>20</v>
      </c>
      <c r="J398" s="3">
        <v>104.999</v>
      </c>
      <c r="K398" s="3">
        <v>400</v>
      </c>
      <c r="L398" s="5">
        <v>9.6500000000000002E-2</v>
      </c>
      <c r="M398" s="3" t="s">
        <v>21</v>
      </c>
      <c r="N398" s="3">
        <v>729</v>
      </c>
      <c r="O398" s="6">
        <f>Table1[[#This Row],[Current coupon %]]*Table1[[#This Row],[Face value]]/Table1[[#This Row],[Ask Price]]</f>
        <v>9.1905637196544723E-2</v>
      </c>
      <c r="P398" s="3"/>
      <c r="Q398" s="3" t="s">
        <v>22</v>
      </c>
      <c r="R398">
        <f t="shared" si="6"/>
        <v>3</v>
      </c>
      <c r="S398" s="22" cm="1">
        <f t="array" ref="S398">_xlfn.IFS(Table1[[#This Row],[Coupon frequency]]="Semi-annual",2,Table1[[#This Row],[Coupon frequency]]="Quarterly",4,Table1[[#This Row],[Coupon frequency]]="Annual",1,Table1[[#This Row],[Coupon frequency]]="Every 4 months",3,Table1[[#This Row],[Coupon frequency]]="Monthly",12)</f>
        <v>1</v>
      </c>
      <c r="T398">
        <f>Table1[[#This Row],[Term to Maturity (Years)]]*Table1[[#This Row],[Coupon Frequency2]]</f>
        <v>3</v>
      </c>
      <c r="U398">
        <f>Table1[[#This Row],[Face value]]*Table1[[#This Row],[Current coupon %]]/Table1[[#This Row],[Coupon Frequency2]]</f>
        <v>96.5</v>
      </c>
      <c r="V398" s="23">
        <f>RATE(Table1[[#This Row],[Total No. of Coupons]],Table1[[#This Row],[Coupon Amount]],-Table1[[#This Row],[Ask Price]],Table1[[#This Row],[Face value]])</f>
        <v>7.7200126339600189E-2</v>
      </c>
      <c r="W398" s="24">
        <f>Table1[[#This Row],[IRR]]*Table1[[#This Row],[Coupon Frequency2]]</f>
        <v>7.7200126339600189E-2</v>
      </c>
      <c r="X398" s="25" cm="1">
        <f t="array" ref="X39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8" s="26">
        <f>DURATION(Table1[[#This Row],[Issue date]],Table1[[#This Row],[Maturity date]],Table1[[#This Row],[Current coupon %]],Table1[[#This Row],[Yield (Annualised)]],Table1[[#This Row],[Coupon Frequency2]])</f>
        <v>2.7501575914658871</v>
      </c>
      <c r="Z398" s="26">
        <f>Table1[[#This Row],[Macaulay Duration in Years]]/(1+Table1[[#This Row],[IRR]])</f>
        <v>2.5530609626004321</v>
      </c>
      <c r="AA398" s="27">
        <f>VLOOKUP(Table1[[#This Row],[Yield Cluster]],'[1]Cluster Details'!$B$3:$C$16,2,0)</f>
        <v>7.8548801574189142E-2</v>
      </c>
      <c r="AB398" s="28">
        <f>PRICE(Table1[[#This Row],[Issue date]],Table1[[#This Row],[Maturity date]],Table1[[#This Row],[Current coupon %]],Table1[[#This Row],[Average Cluster Yield]],100,Table1[[#This Row],[Coupon Frequency2]])*Table1[[#This Row],[Face value]]/100</f>
        <v>1046.3833860773871</v>
      </c>
      <c r="AC398" s="27" t="str">
        <f>IF(Table1[[#This Row],[Ask Price]]&gt;Table1[[#This Row],[Calculated Bond Price]],"Rich","Cheap")</f>
        <v>Rich</v>
      </c>
      <c r="AD398" s="28">
        <f>PRICE(Table1[[#This Row],[Issue date]],Table1[[#This Row],[Maturity date]],Table1[[#This Row],[Current coupon %]],Table1[[#This Row],[Yield (Annualised)]]+$AE$2,100,Table1[[#This Row],[Coupon Frequency2]])*Table1[[#This Row],[Face value]]/100</f>
        <v>1023.658685968707</v>
      </c>
      <c r="AE398" s="28">
        <f>PRICE(Table1[[#This Row],[Issue date]],Table1[[#This Row],[Maturity date]],Table1[[#This Row],[Current coupon %]],Table1[[#This Row],[Yield (Annualised)]]-$AE$2,100,Table1[[#This Row],[Coupon Frequency2]])*Table1[[#This Row],[Face value]]/100</f>
        <v>1077.2871703546225</v>
      </c>
      <c r="AF398" s="28">
        <f>(Table1[[#This Row],[P (+ shock)]]+Table1[[#This Row],[P (-shock)]]-2*Table1[[#This Row],[Ask Price]])/(2*Table1[[#This Row],[Ask Price]]*($AE$2^2))</f>
        <v>4.5993596288024765</v>
      </c>
    </row>
    <row r="399" spans="1:32" x14ac:dyDescent="0.25">
      <c r="A399" s="21" t="s">
        <v>844</v>
      </c>
      <c r="B399" s="3" t="s">
        <v>845</v>
      </c>
      <c r="C399" s="3" t="s">
        <v>19</v>
      </c>
      <c r="D399" s="4">
        <v>45287</v>
      </c>
      <c r="E399" s="4">
        <v>46383</v>
      </c>
      <c r="F399" s="3">
        <v>1000</v>
      </c>
      <c r="G399" s="3" t="s">
        <v>20</v>
      </c>
      <c r="H399" s="3">
        <v>1060</v>
      </c>
      <c r="I399" s="3" t="s">
        <v>20</v>
      </c>
      <c r="J399" s="3">
        <v>106</v>
      </c>
      <c r="K399" s="3">
        <v>200</v>
      </c>
      <c r="L399" s="5">
        <v>9.6500000000000002E-2</v>
      </c>
      <c r="M399" s="3" t="s">
        <v>21</v>
      </c>
      <c r="N399" s="3">
        <v>466</v>
      </c>
      <c r="O399" s="6">
        <f>Table1[[#This Row],[Current coupon %]]*Table1[[#This Row],[Face value]]/Table1[[#This Row],[Ask Price]]</f>
        <v>9.1037735849056597E-2</v>
      </c>
      <c r="P399" s="3"/>
      <c r="Q399" s="3" t="s">
        <v>22</v>
      </c>
      <c r="R399">
        <f t="shared" si="6"/>
        <v>3</v>
      </c>
      <c r="S399" s="22" cm="1">
        <f t="array" ref="S399">_xlfn.IFS(Table1[[#This Row],[Coupon frequency]]="Semi-annual",2,Table1[[#This Row],[Coupon frequency]]="Quarterly",4,Table1[[#This Row],[Coupon frequency]]="Annual",1,Table1[[#This Row],[Coupon frequency]]="Every 4 months",3,Table1[[#This Row],[Coupon frequency]]="Monthly",12)</f>
        <v>1</v>
      </c>
      <c r="T399">
        <f>Table1[[#This Row],[Term to Maturity (Years)]]*Table1[[#This Row],[Coupon Frequency2]]</f>
        <v>3</v>
      </c>
      <c r="U399">
        <f>Table1[[#This Row],[Face value]]*Table1[[#This Row],[Current coupon %]]/Table1[[#This Row],[Coupon Frequency2]]</f>
        <v>96.5</v>
      </c>
      <c r="V399" s="23">
        <f>RATE(Table1[[#This Row],[Total No. of Coupons]],Table1[[#This Row],[Coupon Amount]],-Table1[[#This Row],[Ask Price]],Table1[[#This Row],[Face value]])</f>
        <v>7.3490931905754842E-2</v>
      </c>
      <c r="W399" s="24">
        <f>Table1[[#This Row],[IRR]]*Table1[[#This Row],[Coupon Frequency2]]</f>
        <v>7.3490931905754842E-2</v>
      </c>
      <c r="X399" s="25" cm="1">
        <f t="array" ref="X39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399" s="26">
        <f>DURATION(Table1[[#This Row],[Issue date]],Table1[[#This Row],[Maturity date]],Table1[[#This Row],[Current coupon %]],Table1[[#This Row],[Yield (Annualised)]],Table1[[#This Row],[Coupon Frequency2]])</f>
        <v>2.7513898086711506</v>
      </c>
      <c r="Z399" s="26">
        <f>Table1[[#This Row],[Macaulay Duration in Years]]/(1+Table1[[#This Row],[IRR]])</f>
        <v>2.5630303218180361</v>
      </c>
      <c r="AA399" s="27">
        <f>VLOOKUP(Table1[[#This Row],[Yield Cluster]],'[1]Cluster Details'!$B$3:$C$16,2,0)</f>
        <v>7.8548801574189142E-2</v>
      </c>
      <c r="AB399" s="28">
        <f>PRICE(Table1[[#This Row],[Issue date]],Table1[[#This Row],[Maturity date]],Table1[[#This Row],[Current coupon %]],Table1[[#This Row],[Average Cluster Yield]],100,Table1[[#This Row],[Coupon Frequency2]])*Table1[[#This Row],[Face value]]/100</f>
        <v>1046.3833860773871</v>
      </c>
      <c r="AC399" s="27" t="str">
        <f>IF(Table1[[#This Row],[Ask Price]]&gt;Table1[[#This Row],[Calculated Bond Price]],"Rich","Cheap")</f>
        <v>Rich</v>
      </c>
      <c r="AD399" s="28">
        <f>PRICE(Table1[[#This Row],[Issue date]],Table1[[#This Row],[Maturity date]],Table1[[#This Row],[Current coupon %]],Table1[[#This Row],[Yield (Annualised)]]+$AE$2,100,Table1[[#This Row],[Coupon Frequency2]])*Table1[[#This Row],[Face value]]/100</f>
        <v>1033.3155693854135</v>
      </c>
      <c r="AE399" s="28">
        <f>PRICE(Table1[[#This Row],[Issue date]],Table1[[#This Row],[Maturity date]],Table1[[#This Row],[Current coupon %]],Table1[[#This Row],[Yield (Annualised)]]-$AE$2,100,Table1[[#This Row],[Coupon Frequency2]])*Table1[[#This Row],[Face value]]/100</f>
        <v>1087.6668318405245</v>
      </c>
      <c r="AF399" s="28">
        <f>(Table1[[#This Row],[P (+ shock)]]+Table1[[#This Row],[P (-shock)]]-2*Table1[[#This Row],[Ask Price]])/(2*Table1[[#This Row],[Ask Price]]*($AE$2^2))</f>
        <v>4.6339680468763786</v>
      </c>
    </row>
    <row r="400" spans="1:32" x14ac:dyDescent="0.25">
      <c r="A400" s="21" t="s">
        <v>846</v>
      </c>
      <c r="B400" s="3" t="s">
        <v>847</v>
      </c>
      <c r="C400" s="3" t="s">
        <v>19</v>
      </c>
      <c r="D400" s="4">
        <v>45756</v>
      </c>
      <c r="E400" s="4">
        <v>47217</v>
      </c>
      <c r="F400" s="3">
        <v>100000</v>
      </c>
      <c r="G400" s="3" t="s">
        <v>20</v>
      </c>
      <c r="H400" s="3">
        <v>101782.32</v>
      </c>
      <c r="I400" s="3" t="s">
        <v>20</v>
      </c>
      <c r="J400" s="3">
        <v>101.78232</v>
      </c>
      <c r="K400" s="3">
        <v>10</v>
      </c>
      <c r="L400" s="5">
        <v>9.3000000000000013E-2</v>
      </c>
      <c r="M400" s="3" t="s">
        <v>21</v>
      </c>
      <c r="N400" s="3">
        <v>1300</v>
      </c>
      <c r="O400" s="6">
        <f>Table1[[#This Row],[Current coupon %]]*Table1[[#This Row],[Face value]]/Table1[[#This Row],[Ask Price]]</f>
        <v>9.1371468050639851E-2</v>
      </c>
      <c r="P400" s="3"/>
      <c r="Q400" s="3" t="s">
        <v>22</v>
      </c>
      <c r="R400">
        <f t="shared" si="6"/>
        <v>4</v>
      </c>
      <c r="S400" s="22" cm="1">
        <f t="array" ref="S400">_xlfn.IFS(Table1[[#This Row],[Coupon frequency]]="Semi-annual",2,Table1[[#This Row],[Coupon frequency]]="Quarterly",4,Table1[[#This Row],[Coupon frequency]]="Annual",1,Table1[[#This Row],[Coupon frequency]]="Every 4 months",3,Table1[[#This Row],[Coupon frequency]]="Monthly",12)</f>
        <v>1</v>
      </c>
      <c r="T400">
        <f>Table1[[#This Row],[Term to Maturity (Years)]]*Table1[[#This Row],[Coupon Frequency2]]</f>
        <v>4</v>
      </c>
      <c r="U400">
        <f>Table1[[#This Row],[Face value]]*Table1[[#This Row],[Current coupon %]]/Table1[[#This Row],[Coupon Frequency2]]</f>
        <v>9300.0000000000018</v>
      </c>
      <c r="V400" s="23">
        <f>RATE(Table1[[#This Row],[Total No. of Coupons]],Table1[[#This Row],[Coupon Amount]],-Table1[[#This Row],[Ask Price]],Table1[[#This Row],[Face value]])</f>
        <v>8.7528353426750236E-2</v>
      </c>
      <c r="W400" s="24">
        <f>Table1[[#This Row],[IRR]]*Table1[[#This Row],[Coupon Frequency2]]</f>
        <v>8.7528353426750236E-2</v>
      </c>
      <c r="X400" s="25" cm="1">
        <f t="array" ref="X40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0" s="26">
        <f>DURATION(Table1[[#This Row],[Issue date]],Table1[[#This Row],[Maturity date]],Table1[[#This Row],[Current coupon %]],Table1[[#This Row],[Yield (Annualised)]],Table1[[#This Row],[Coupon Frequency2]])</f>
        <v>3.5223986517804149</v>
      </c>
      <c r="Z400" s="26">
        <f>Table1[[#This Row],[Macaulay Duration in Years]]/(1+Table1[[#This Row],[IRR]])</f>
        <v>3.2389028209531312</v>
      </c>
      <c r="AA400" s="27">
        <f>VLOOKUP(Table1[[#This Row],[Yield Cluster]],'[1]Cluster Details'!$B$3:$C$16,2,0)</f>
        <v>7.8548801574189142E-2</v>
      </c>
      <c r="AB400" s="28">
        <f>PRICE(Table1[[#This Row],[Issue date]],Table1[[#This Row],[Maturity date]],Table1[[#This Row],[Current coupon %]],Table1[[#This Row],[Average Cluster Yield]],100,Table1[[#This Row],[Coupon Frequency2]])*Table1[[#This Row],[Face value]]/100</f>
        <v>104801.92216964727</v>
      </c>
      <c r="AC400" s="27" t="str">
        <f>IF(Table1[[#This Row],[Ask Price]]&gt;Table1[[#This Row],[Calculated Bond Price]],"Rich","Cheap")</f>
        <v>Cheap</v>
      </c>
      <c r="AD400" s="28">
        <f>PRICE(Table1[[#This Row],[Issue date]],Table1[[#This Row],[Maturity date]],Table1[[#This Row],[Current coupon %]],Table1[[#This Row],[Yield (Annualised)]]+$AE$2,100,Table1[[#This Row],[Coupon Frequency2]])*Table1[[#This Row],[Face value]]/100</f>
        <v>98556.859030834312</v>
      </c>
      <c r="AE400" s="28">
        <f>PRICE(Table1[[#This Row],[Issue date]],Table1[[#This Row],[Maturity date]],Table1[[#This Row],[Current coupon %]],Table1[[#This Row],[Yield (Annualised)]]-$AE$2,100,Table1[[#This Row],[Coupon Frequency2]])*Table1[[#This Row],[Face value]]/100</f>
        <v>105152.72507411031</v>
      </c>
      <c r="AF400" s="28">
        <f>(Table1[[#This Row],[P (+ shock)]]+Table1[[#This Row],[P (-shock)]]-2*Table1[[#This Row],[Ask Price]])/(2*Table1[[#This Row],[Ask Price]]*($AE$2^2))</f>
        <v>7.1202987387489598</v>
      </c>
    </row>
    <row r="401" spans="1:32" x14ac:dyDescent="0.25">
      <c r="A401" s="21" t="s">
        <v>848</v>
      </c>
      <c r="B401" s="3" t="s">
        <v>849</v>
      </c>
      <c r="C401" s="3" t="s">
        <v>19</v>
      </c>
      <c r="D401" s="4">
        <v>45105</v>
      </c>
      <c r="E401" s="4">
        <v>46932</v>
      </c>
      <c r="F401" s="3">
        <v>1000</v>
      </c>
      <c r="G401" s="3" t="s">
        <v>20</v>
      </c>
      <c r="H401" s="3">
        <v>985</v>
      </c>
      <c r="I401" s="3" t="s">
        <v>20</v>
      </c>
      <c r="J401" s="3">
        <v>98.5</v>
      </c>
      <c r="K401" s="3">
        <v>294</v>
      </c>
      <c r="L401" s="5">
        <v>0.09</v>
      </c>
      <c r="M401" s="3" t="s">
        <v>21</v>
      </c>
      <c r="N401" s="3">
        <v>1015</v>
      </c>
      <c r="O401" s="6">
        <f>Table1[[#This Row],[Current coupon %]]*Table1[[#This Row],[Face value]]/Table1[[#This Row],[Ask Price]]</f>
        <v>9.1370558375634514E-2</v>
      </c>
      <c r="P401" s="3" t="s">
        <v>25</v>
      </c>
      <c r="Q401" s="3" t="s">
        <v>22</v>
      </c>
      <c r="R401">
        <f t="shared" si="6"/>
        <v>5</v>
      </c>
      <c r="S401" s="22" cm="1">
        <f t="array" ref="S401">_xlfn.IFS(Table1[[#This Row],[Coupon frequency]]="Semi-annual",2,Table1[[#This Row],[Coupon frequency]]="Quarterly",4,Table1[[#This Row],[Coupon frequency]]="Annual",1,Table1[[#This Row],[Coupon frequency]]="Every 4 months",3,Table1[[#This Row],[Coupon frequency]]="Monthly",12)</f>
        <v>1</v>
      </c>
      <c r="T401">
        <f>Table1[[#This Row],[Term to Maturity (Years)]]*Table1[[#This Row],[Coupon Frequency2]]</f>
        <v>5</v>
      </c>
      <c r="U401">
        <f>Table1[[#This Row],[Face value]]*Table1[[#This Row],[Current coupon %]]/Table1[[#This Row],[Coupon Frequency2]]</f>
        <v>90</v>
      </c>
      <c r="V401" s="23">
        <f>RATE(Table1[[#This Row],[Total No. of Coupons]],Table1[[#This Row],[Coupon Amount]],-Table1[[#This Row],[Ask Price]],Table1[[#This Row],[Face value]])</f>
        <v>9.3895443321917835E-2</v>
      </c>
      <c r="W401" s="24">
        <f>Table1[[#This Row],[IRR]]*Table1[[#This Row],[Coupon Frequency2]]</f>
        <v>9.3895443321917835E-2</v>
      </c>
      <c r="X401" s="25" cm="1">
        <f t="array" ref="X40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1" s="26">
        <f>DURATION(Table1[[#This Row],[Issue date]],Table1[[#This Row],[Maturity date]],Table1[[#This Row],[Current coupon %]],Table1[[#This Row],[Yield (Annualised)]],Table1[[#This Row],[Coupon Frequency2]])</f>
        <v>4.2333955616132277</v>
      </c>
      <c r="Z401" s="26">
        <f>Table1[[#This Row],[Macaulay Duration in Years]]/(1+Table1[[#This Row],[IRR]])</f>
        <v>3.8700184624202696</v>
      </c>
      <c r="AA401" s="27">
        <f>VLOOKUP(Table1[[#This Row],[Yield Cluster]],'[1]Cluster Details'!$B$3:$C$16,2,0)</f>
        <v>7.8548801574189142E-2</v>
      </c>
      <c r="AB401" s="28">
        <f>PRICE(Table1[[#This Row],[Issue date]],Table1[[#This Row],[Maturity date]],Table1[[#This Row],[Current coupon %]],Table1[[#This Row],[Average Cluster Yield]],100,Table1[[#This Row],[Coupon Frequency2]])*Table1[[#This Row],[Face value]]/100</f>
        <v>1045.8967255033767</v>
      </c>
      <c r="AC401" s="27" t="str">
        <f>IF(Table1[[#This Row],[Ask Price]]&gt;Table1[[#This Row],[Calculated Bond Price]],"Rich","Cheap")</f>
        <v>Cheap</v>
      </c>
      <c r="AD401" s="28">
        <f>PRICE(Table1[[#This Row],[Issue date]],Table1[[#This Row],[Maturity date]],Table1[[#This Row],[Current coupon %]],Table1[[#This Row],[Yield (Annualised)]]+$AE$2,100,Table1[[#This Row],[Coupon Frequency2]])*Table1[[#This Row],[Face value]]/100</f>
        <v>947.84537055836188</v>
      </c>
      <c r="AE401" s="28">
        <f>PRICE(Table1[[#This Row],[Issue date]],Table1[[#This Row],[Maturity date]],Table1[[#This Row],[Current coupon %]],Table1[[#This Row],[Yield (Annualised)]]-$AE$2,100,Table1[[#This Row],[Coupon Frequency2]])*Table1[[#This Row],[Face value]]/100</f>
        <v>1024.1255178634103</v>
      </c>
      <c r="AF401" s="28">
        <f>(Table1[[#This Row],[P (+ shock)]]+Table1[[#This Row],[P (-shock)]]-2*Table1[[#This Row],[Ask Price]])/(2*Table1[[#This Row],[Ask Price]]*($AE$2^2))</f>
        <v>10.004509755188263</v>
      </c>
    </row>
    <row r="402" spans="1:32" x14ac:dyDescent="0.25">
      <c r="A402" s="21" t="s">
        <v>850</v>
      </c>
      <c r="B402" s="3" t="s">
        <v>851</v>
      </c>
      <c r="C402" s="3" t="s">
        <v>19</v>
      </c>
      <c r="D402" s="4">
        <v>45260</v>
      </c>
      <c r="E402" s="4">
        <v>47878</v>
      </c>
      <c r="F402" s="3">
        <v>100000</v>
      </c>
      <c r="G402" s="3" t="s">
        <v>20</v>
      </c>
      <c r="H402" s="3">
        <v>102974</v>
      </c>
      <c r="I402" s="3" t="s">
        <v>20</v>
      </c>
      <c r="J402" s="3">
        <v>102.974</v>
      </c>
      <c r="K402" s="3">
        <v>5</v>
      </c>
      <c r="L402" s="5">
        <v>9.4E-2</v>
      </c>
      <c r="M402" s="3" t="s">
        <v>21</v>
      </c>
      <c r="N402" s="3">
        <v>1961</v>
      </c>
      <c r="O402" s="6">
        <f>Table1[[#This Row],[Current coupon %]]*Table1[[#This Row],[Face value]]/Table1[[#This Row],[Ask Price]]</f>
        <v>9.1285178782993762E-2</v>
      </c>
      <c r="P402" s="3"/>
      <c r="Q402" s="3" t="s">
        <v>22</v>
      </c>
      <c r="R402">
        <f t="shared" si="6"/>
        <v>7</v>
      </c>
      <c r="S402" s="22" cm="1">
        <f t="array" ref="S402">_xlfn.IFS(Table1[[#This Row],[Coupon frequency]]="Semi-annual",2,Table1[[#This Row],[Coupon frequency]]="Quarterly",4,Table1[[#This Row],[Coupon frequency]]="Annual",1,Table1[[#This Row],[Coupon frequency]]="Every 4 months",3,Table1[[#This Row],[Coupon frequency]]="Monthly",12)</f>
        <v>1</v>
      </c>
      <c r="T402">
        <f>Table1[[#This Row],[Term to Maturity (Years)]]*Table1[[#This Row],[Coupon Frequency2]]</f>
        <v>7</v>
      </c>
      <c r="U402">
        <f>Table1[[#This Row],[Face value]]*Table1[[#This Row],[Current coupon %]]/Table1[[#This Row],[Coupon Frequency2]]</f>
        <v>9400</v>
      </c>
      <c r="V402" s="23">
        <f>RATE(Table1[[#This Row],[Total No. of Coupons]],Table1[[#This Row],[Coupon Amount]],-Table1[[#This Row],[Ask Price]],Table1[[#This Row],[Face value]])</f>
        <v>8.8128010074716018E-2</v>
      </c>
      <c r="W402" s="24">
        <f>Table1[[#This Row],[IRR]]*Table1[[#This Row],[Coupon Frequency2]]</f>
        <v>8.8128010074716018E-2</v>
      </c>
      <c r="X402" s="25" cm="1">
        <f t="array" ref="X40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2" s="26">
        <f>DURATION(Table1[[#This Row],[Issue date]],Table1[[#This Row],[Maturity date]],Table1[[#This Row],[Current coupon %]],Table1[[#This Row],[Yield (Annualised)]],Table1[[#This Row],[Coupon Frequency2]])</f>
        <v>5.1678577984562786</v>
      </c>
      <c r="Z402" s="26">
        <f>Table1[[#This Row],[Macaulay Duration in Years]]/(1+Table1[[#This Row],[IRR]])</f>
        <v>4.7493105136604559</v>
      </c>
      <c r="AA402" s="27">
        <f>VLOOKUP(Table1[[#This Row],[Yield Cluster]],'[1]Cluster Details'!$B$3:$C$16,2,0)</f>
        <v>7.8548801574189142E-2</v>
      </c>
      <c r="AB402" s="28">
        <f>PRICE(Table1[[#This Row],[Issue date]],Table1[[#This Row],[Maturity date]],Table1[[#This Row],[Current coupon %]],Table1[[#This Row],[Average Cluster Yield]],100,Table1[[#This Row],[Coupon Frequency2]])*Table1[[#This Row],[Face value]]/100</f>
        <v>108179.87736818985</v>
      </c>
      <c r="AC402" s="27" t="str">
        <f>IF(Table1[[#This Row],[Ask Price]]&gt;Table1[[#This Row],[Calculated Bond Price]],"Rich","Cheap")</f>
        <v>Cheap</v>
      </c>
      <c r="AD402" s="28">
        <f>PRICE(Table1[[#This Row],[Issue date]],Table1[[#This Row],[Maturity date]],Table1[[#This Row],[Current coupon %]],Table1[[#This Row],[Yield (Annualised)]]+$AE$2,100,Table1[[#This Row],[Coupon Frequency2]])*Table1[[#This Row],[Face value]]/100</f>
        <v>97882.313249201907</v>
      </c>
      <c r="AE402" s="28">
        <f>PRICE(Table1[[#This Row],[Issue date]],Table1[[#This Row],[Maturity date]],Table1[[#This Row],[Current coupon %]],Table1[[#This Row],[Yield (Annualised)]]-$AE$2,100,Table1[[#This Row],[Coupon Frequency2]])*Table1[[#This Row],[Face value]]/100</f>
        <v>108416.69958318834</v>
      </c>
      <c r="AF402" s="28">
        <f>(Table1[[#This Row],[P (+ shock)]]+Table1[[#This Row],[P (-shock)]]-2*Table1[[#This Row],[Ask Price]])/(2*Table1[[#This Row],[Ask Price]]*($AE$2^2))</f>
        <v>17.043760191420208</v>
      </c>
    </row>
    <row r="403" spans="1:32" x14ac:dyDescent="0.25">
      <c r="A403" s="21" t="s">
        <v>852</v>
      </c>
      <c r="B403" s="3" t="s">
        <v>853</v>
      </c>
      <c r="C403" s="3" t="s">
        <v>19</v>
      </c>
      <c r="D403" s="4">
        <v>45455</v>
      </c>
      <c r="E403" s="4">
        <v>46003</v>
      </c>
      <c r="F403" s="3">
        <v>1000</v>
      </c>
      <c r="G403" s="3" t="s">
        <v>20</v>
      </c>
      <c r="H403" s="3">
        <v>1005</v>
      </c>
      <c r="I403" s="3" t="s">
        <v>20</v>
      </c>
      <c r="J403" s="3">
        <v>100.49999999999901</v>
      </c>
      <c r="K403" s="3">
        <v>6</v>
      </c>
      <c r="L403" s="5">
        <v>9.1600000000000001E-2</v>
      </c>
      <c r="M403" s="3" t="s">
        <v>21</v>
      </c>
      <c r="N403" s="3">
        <v>86</v>
      </c>
      <c r="O403" s="6">
        <f>Table1[[#This Row],[Current coupon %]]*Table1[[#This Row],[Face value]]/Table1[[#This Row],[Ask Price]]</f>
        <v>9.1144278606965168E-2</v>
      </c>
      <c r="P403" s="3"/>
      <c r="Q403" s="3" t="s">
        <v>22</v>
      </c>
      <c r="R403">
        <f t="shared" si="6"/>
        <v>2</v>
      </c>
      <c r="S403" s="22" cm="1">
        <f t="array" ref="S403">_xlfn.IFS(Table1[[#This Row],[Coupon frequency]]="Semi-annual",2,Table1[[#This Row],[Coupon frequency]]="Quarterly",4,Table1[[#This Row],[Coupon frequency]]="Annual",1,Table1[[#This Row],[Coupon frequency]]="Every 4 months",3,Table1[[#This Row],[Coupon frequency]]="Monthly",12)</f>
        <v>1</v>
      </c>
      <c r="T403">
        <f>Table1[[#This Row],[Term to Maturity (Years)]]*Table1[[#This Row],[Coupon Frequency2]]</f>
        <v>2</v>
      </c>
      <c r="U403">
        <f>Table1[[#This Row],[Face value]]*Table1[[#This Row],[Current coupon %]]/Table1[[#This Row],[Coupon Frequency2]]</f>
        <v>91.6</v>
      </c>
      <c r="V403" s="23">
        <f>RATE(Table1[[#This Row],[Total No. of Coupons]],Table1[[#This Row],[Coupon Amount]],-Table1[[#This Row],[Ask Price]],Table1[[#This Row],[Face value]])</f>
        <v>8.8762425928866989E-2</v>
      </c>
      <c r="W403" s="24">
        <f>Table1[[#This Row],[IRR]]*Table1[[#This Row],[Coupon Frequency2]]</f>
        <v>8.8762425928866989E-2</v>
      </c>
      <c r="X403" s="25" cm="1">
        <f t="array" ref="X40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3" s="26">
        <f>DURATION(Table1[[#This Row],[Issue date]],Table1[[#This Row],[Maturity date]],Table1[[#This Row],[Current coupon %]],Table1[[#This Row],[Yield (Annualised)]],Table1[[#This Row],[Coupon Frequency2]])</f>
        <v>1.4162863482093384</v>
      </c>
      <c r="Z403" s="26">
        <f>Table1[[#This Row],[Macaulay Duration in Years]]/(1+Table1[[#This Row],[IRR]])</f>
        <v>1.3008222128909781</v>
      </c>
      <c r="AA403" s="27">
        <f>VLOOKUP(Table1[[#This Row],[Yield Cluster]],'[1]Cluster Details'!$B$3:$C$16,2,0)</f>
        <v>7.8548801574189142E-2</v>
      </c>
      <c r="AB403" s="28">
        <f>PRICE(Table1[[#This Row],[Issue date]],Table1[[#This Row],[Maturity date]],Table1[[#This Row],[Current coupon %]],Table1[[#This Row],[Average Cluster Yield]],100,Table1[[#This Row],[Coupon Frequency2]])*Table1[[#This Row],[Face value]]/100</f>
        <v>1016.9507466732089</v>
      </c>
      <c r="AC403" s="27" t="str">
        <f>IF(Table1[[#This Row],[Ask Price]]&gt;Table1[[#This Row],[Calculated Bond Price]],"Rich","Cheap")</f>
        <v>Cheap</v>
      </c>
      <c r="AD403" s="28">
        <f>PRICE(Table1[[#This Row],[Issue date]],Table1[[#This Row],[Maturity date]],Table1[[#This Row],[Current coupon %]],Table1[[#This Row],[Yield (Annualised)]]+$AE$2,100,Table1[[#This Row],[Coupon Frequency2]])*Table1[[#This Row],[Face value]]/100</f>
        <v>989.36697254786452</v>
      </c>
      <c r="AE403" s="28">
        <f>PRICE(Table1[[#This Row],[Issue date]],Table1[[#This Row],[Maturity date]],Table1[[#This Row],[Current coupon %]],Table1[[#This Row],[Yield (Annualised)]]-$AE$2,100,Table1[[#This Row],[Coupon Frequency2]])*Table1[[#This Row],[Face value]]/100</f>
        <v>1016.6525464480665</v>
      </c>
      <c r="AF403" s="28">
        <f>(Table1[[#This Row],[P (+ shock)]]+Table1[[#This Row],[P (-shock)]]-2*Table1[[#This Row],[Ask Price]])/(2*Table1[[#This Row],[Ask Price]]*($AE$2^2))</f>
        <v>-19.803388079945936</v>
      </c>
    </row>
    <row r="404" spans="1:32" x14ac:dyDescent="0.25">
      <c r="A404" s="21" t="s">
        <v>854</v>
      </c>
      <c r="B404" s="3" t="s">
        <v>855</v>
      </c>
      <c r="C404" s="3" t="s">
        <v>19</v>
      </c>
      <c r="D404" s="4">
        <v>45184</v>
      </c>
      <c r="E404" s="4">
        <v>48837</v>
      </c>
      <c r="F404" s="3">
        <v>1000</v>
      </c>
      <c r="G404" s="3" t="s">
        <v>20</v>
      </c>
      <c r="H404" s="3">
        <v>1024.8</v>
      </c>
      <c r="I404" s="3" t="s">
        <v>20</v>
      </c>
      <c r="J404" s="3">
        <v>102.479999999999</v>
      </c>
      <c r="K404" s="3">
        <v>300</v>
      </c>
      <c r="L404" s="5">
        <v>0.1045</v>
      </c>
      <c r="M404" s="3" t="s">
        <v>21</v>
      </c>
      <c r="N404" s="3">
        <v>2920</v>
      </c>
      <c r="O404" s="6">
        <f>Table1[[#This Row],[Current coupon %]]*Table1[[#This Row],[Face value]]/Table1[[#This Row],[Ask Price]]</f>
        <v>0.10197111631537861</v>
      </c>
      <c r="P404" s="3"/>
      <c r="Q404" s="3" t="s">
        <v>22</v>
      </c>
      <c r="R404">
        <f t="shared" si="6"/>
        <v>10</v>
      </c>
      <c r="S404" s="22" cm="1">
        <f t="array" ref="S404">_xlfn.IFS(Table1[[#This Row],[Coupon frequency]]="Semi-annual",2,Table1[[#This Row],[Coupon frequency]]="Quarterly",4,Table1[[#This Row],[Coupon frequency]]="Annual",1,Table1[[#This Row],[Coupon frequency]]="Every 4 months",3,Table1[[#This Row],[Coupon frequency]]="Monthly",12)</f>
        <v>1</v>
      </c>
      <c r="T404">
        <f>Table1[[#This Row],[Term to Maturity (Years)]]*Table1[[#This Row],[Coupon Frequency2]]</f>
        <v>10</v>
      </c>
      <c r="U404">
        <f>Table1[[#This Row],[Face value]]*Table1[[#This Row],[Current coupon %]]/Table1[[#This Row],[Coupon Frequency2]]</f>
        <v>104.5</v>
      </c>
      <c r="V404" s="23">
        <f>RATE(Table1[[#This Row],[Total No. of Coupons]],Table1[[#This Row],[Coupon Amount]],-Table1[[#This Row],[Ask Price]],Table1[[#This Row],[Face value]])</f>
        <v>0.10045600439919174</v>
      </c>
      <c r="W404" s="24">
        <f>Table1[[#This Row],[IRR]]*Table1[[#This Row],[Coupon Frequency2]]</f>
        <v>0.10045600439919174</v>
      </c>
      <c r="X404" s="25" cm="1">
        <f t="array" ref="X40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3</v>
      </c>
      <c r="Y404" s="26">
        <f>DURATION(Table1[[#This Row],[Issue date]],Table1[[#This Row],[Maturity date]],Table1[[#This Row],[Current coupon %]],Table1[[#This Row],[Yield (Annualised)]],Table1[[#This Row],[Coupon Frequency2]])</f>
        <v>6.699561320101191</v>
      </c>
      <c r="Z404" s="26">
        <f>Table1[[#This Row],[Macaulay Duration in Years]]/(1+Table1[[#This Row],[IRR]])</f>
        <v>6.0879865195146108</v>
      </c>
      <c r="AA404" s="27">
        <f>VLOOKUP(Table1[[#This Row],[Yield Cluster]],'[1]Cluster Details'!$B$3:$C$16,2,0)</f>
        <v>0.11069942689191503</v>
      </c>
      <c r="AB404" s="28">
        <f>PRICE(Table1[[#This Row],[Issue date]],Table1[[#This Row],[Maturity date]],Table1[[#This Row],[Current coupon %]],Table1[[#This Row],[Average Cluster Yield]],100,Table1[[#This Row],[Coupon Frequency2]])*Table1[[#This Row],[Face value]]/100</f>
        <v>963.59696641729215</v>
      </c>
      <c r="AC404" s="27" t="str">
        <f>IF(Table1[[#This Row],[Ask Price]]&gt;Table1[[#This Row],[Calculated Bond Price]],"Rich","Cheap")</f>
        <v>Rich</v>
      </c>
      <c r="AD404" s="28">
        <f>PRICE(Table1[[#This Row],[Issue date]],Table1[[#This Row],[Maturity date]],Table1[[#This Row],[Current coupon %]],Table1[[#This Row],[Yield (Annualised)]]+$AE$2,100,Table1[[#This Row],[Coupon Frequency2]])*Table1[[#This Row],[Face value]]/100</f>
        <v>964.99067680484541</v>
      </c>
      <c r="AE404" s="28">
        <f>PRICE(Table1[[#This Row],[Issue date]],Table1[[#This Row],[Maturity date]],Table1[[#This Row],[Current coupon %]],Table1[[#This Row],[Yield (Annualised)]]-$AE$2,100,Table1[[#This Row],[Coupon Frequency2]])*Table1[[#This Row],[Face value]]/100</f>
        <v>1089.9489339044171</v>
      </c>
      <c r="AF404" s="28">
        <f>(Table1[[#This Row],[P (+ shock)]]+Table1[[#This Row],[P (-shock)]]-2*Table1[[#This Row],[Ask Price]])/(2*Table1[[#This Row],[Ask Price]]*($AE$2^2))</f>
        <v>26.05196481880667</v>
      </c>
    </row>
    <row r="405" spans="1:32" x14ac:dyDescent="0.25">
      <c r="A405" s="21" t="s">
        <v>856</v>
      </c>
      <c r="B405" s="3" t="s">
        <v>857</v>
      </c>
      <c r="C405" s="3" t="s">
        <v>19</v>
      </c>
      <c r="D405" s="4">
        <v>45873</v>
      </c>
      <c r="E405" s="4">
        <v>46969</v>
      </c>
      <c r="F405" s="3">
        <v>100000</v>
      </c>
      <c r="G405" s="3" t="s">
        <v>20</v>
      </c>
      <c r="H405" s="3">
        <v>100958</v>
      </c>
      <c r="I405" s="3" t="s">
        <v>20</v>
      </c>
      <c r="J405" s="3">
        <v>100.958</v>
      </c>
      <c r="K405" s="3">
        <v>1</v>
      </c>
      <c r="L405" s="5">
        <v>9.1999999999999998E-2</v>
      </c>
      <c r="M405" s="3" t="s">
        <v>44</v>
      </c>
      <c r="N405" s="3">
        <v>1052</v>
      </c>
      <c r="O405" s="6">
        <f>Table1[[#This Row],[Current coupon %]]*Table1[[#This Row],[Face value]]/Table1[[#This Row],[Ask Price]]</f>
        <v>9.112700330830642E-2</v>
      </c>
      <c r="P405" s="3" t="s">
        <v>25</v>
      </c>
      <c r="Q405" s="3" t="s">
        <v>22</v>
      </c>
      <c r="R405">
        <f t="shared" si="6"/>
        <v>3</v>
      </c>
      <c r="S405" s="22" cm="1">
        <f t="array" ref="S405">_xlfn.IFS(Table1[[#This Row],[Coupon frequency]]="Semi-annual",2,Table1[[#This Row],[Coupon frequency]]="Quarterly",4,Table1[[#This Row],[Coupon frequency]]="Annual",1,Table1[[#This Row],[Coupon frequency]]="Every 4 months",3,Table1[[#This Row],[Coupon frequency]]="Monthly",12)</f>
        <v>4</v>
      </c>
      <c r="T405">
        <f>Table1[[#This Row],[Term to Maturity (Years)]]*Table1[[#This Row],[Coupon Frequency2]]</f>
        <v>12</v>
      </c>
      <c r="U405">
        <f>Table1[[#This Row],[Face value]]*Table1[[#This Row],[Current coupon %]]/Table1[[#This Row],[Coupon Frequency2]]</f>
        <v>2300</v>
      </c>
      <c r="V405" s="23">
        <f>RATE(Table1[[#This Row],[Total No. of Coupons]],Table1[[#This Row],[Coupon Amount]],-Table1[[#This Row],[Ask Price]],Table1[[#This Row],[Face value]])</f>
        <v>2.2082493572250408E-2</v>
      </c>
      <c r="W405" s="24">
        <f>Table1[[#This Row],[IRR]]*Table1[[#This Row],[Coupon Frequency2]]</f>
        <v>8.8329974289001634E-2</v>
      </c>
      <c r="X405" s="25" cm="1">
        <f t="array" ref="X40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5" s="26">
        <f>DURATION(Table1[[#This Row],[Issue date]],Table1[[#This Row],[Maturity date]],Table1[[#This Row],[Current coupon %]],Table1[[#This Row],[Yield (Annualised)]],Table1[[#This Row],[Coupon Frequency2]])</f>
        <v>2.6574649800567931</v>
      </c>
      <c r="Z405" s="26">
        <f>Table1[[#This Row],[Macaulay Duration in Years]]/(1+Table1[[#This Row],[IRR]])</f>
        <v>2.600049405766423</v>
      </c>
      <c r="AA405" s="27">
        <f>VLOOKUP(Table1[[#This Row],[Yield Cluster]],'[1]Cluster Details'!$B$3:$C$16,2,0)</f>
        <v>7.8548801574189142E-2</v>
      </c>
      <c r="AB405" s="28">
        <f>PRICE(Table1[[#This Row],[Issue date]],Table1[[#This Row],[Maturity date]],Table1[[#This Row],[Current coupon %]],Table1[[#This Row],[Average Cluster Yield]],100,Table1[[#This Row],[Coupon Frequency2]])*Table1[[#This Row],[Face value]]/100</f>
        <v>103564.21200232072</v>
      </c>
      <c r="AC405" s="27" t="str">
        <f>IF(Table1[[#This Row],[Ask Price]]&gt;Table1[[#This Row],[Calculated Bond Price]],"Rich","Cheap")</f>
        <v>Cheap</v>
      </c>
      <c r="AD405" s="28">
        <f>PRICE(Table1[[#This Row],[Issue date]],Table1[[#This Row],[Maturity date]],Table1[[#This Row],[Current coupon %]],Table1[[#This Row],[Yield (Annualised)]]+$AE$2,100,Table1[[#This Row],[Coupon Frequency2]])*Table1[[#This Row],[Face value]]/100</f>
        <v>98372.604177844623</v>
      </c>
      <c r="AE405" s="28">
        <f>PRICE(Table1[[#This Row],[Issue date]],Table1[[#This Row],[Maturity date]],Table1[[#This Row],[Current coupon %]],Table1[[#This Row],[Yield (Annualised)]]-$AE$2,100,Table1[[#This Row],[Coupon Frequency2]])*Table1[[#This Row],[Face value]]/100</f>
        <v>103623.41397756332</v>
      </c>
      <c r="AF405" s="28">
        <f>(Table1[[#This Row],[P (+ shock)]]+Table1[[#This Row],[P (-shock)]]-2*Table1[[#This Row],[Ask Price]])/(2*Table1[[#This Row],[Ask Price]]*($AE$2^2))</f>
        <v>3.9629427785785336</v>
      </c>
    </row>
    <row r="406" spans="1:32" x14ac:dyDescent="0.25">
      <c r="A406" s="21" t="s">
        <v>858</v>
      </c>
      <c r="B406" s="3" t="s">
        <v>859</v>
      </c>
      <c r="C406" s="3" t="s">
        <v>19</v>
      </c>
      <c r="D406" s="4">
        <v>45849</v>
      </c>
      <c r="E406" s="4">
        <v>46741</v>
      </c>
      <c r="F406" s="3">
        <v>100000</v>
      </c>
      <c r="G406" s="3" t="s">
        <v>20</v>
      </c>
      <c r="H406" s="3">
        <v>100972.92</v>
      </c>
      <c r="I406" s="3" t="s">
        <v>20</v>
      </c>
      <c r="J406" s="3">
        <v>100.97292</v>
      </c>
      <c r="K406" s="3">
        <v>1</v>
      </c>
      <c r="L406" s="5">
        <v>9.1999999999999998E-2</v>
      </c>
      <c r="M406" s="3" t="s">
        <v>21</v>
      </c>
      <c r="N406" s="3">
        <v>824</v>
      </c>
      <c r="O406" s="6">
        <f>Table1[[#This Row],[Current coupon %]]*Table1[[#This Row],[Face value]]/Table1[[#This Row],[Ask Price]]</f>
        <v>9.1113538164490041E-2</v>
      </c>
      <c r="P406" s="3"/>
      <c r="Q406" s="3" t="s">
        <v>22</v>
      </c>
      <c r="R406">
        <f t="shared" si="6"/>
        <v>2</v>
      </c>
      <c r="S406" s="22" cm="1">
        <f t="array" ref="S406">_xlfn.IFS(Table1[[#This Row],[Coupon frequency]]="Semi-annual",2,Table1[[#This Row],[Coupon frequency]]="Quarterly",4,Table1[[#This Row],[Coupon frequency]]="Annual",1,Table1[[#This Row],[Coupon frequency]]="Every 4 months",3,Table1[[#This Row],[Coupon frequency]]="Monthly",12)</f>
        <v>1</v>
      </c>
      <c r="T406">
        <f>Table1[[#This Row],[Term to Maturity (Years)]]*Table1[[#This Row],[Coupon Frequency2]]</f>
        <v>2</v>
      </c>
      <c r="U406">
        <f>Table1[[#This Row],[Face value]]*Table1[[#This Row],[Current coupon %]]/Table1[[#This Row],[Coupon Frequency2]]</f>
        <v>9200</v>
      </c>
      <c r="V406" s="23">
        <f>RATE(Table1[[#This Row],[Total No. of Coupons]],Table1[[#This Row],[Coupon Amount]],-Table1[[#This Row],[Ask Price]],Table1[[#This Row],[Face value]])</f>
        <v>8.6495529355825745E-2</v>
      </c>
      <c r="W406" s="24">
        <f>Table1[[#This Row],[IRR]]*Table1[[#This Row],[Coupon Frequency2]]</f>
        <v>8.6495529355825745E-2</v>
      </c>
      <c r="X406" s="25" cm="1">
        <f t="array" ref="X40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6" s="26">
        <f>DURATION(Table1[[#This Row],[Issue date]],Table1[[#This Row],[Maturity date]],Table1[[#This Row],[Current coupon %]],Table1[[#This Row],[Yield (Annualised)]],Table1[[#This Row],[Coupon Frequency2]])</f>
        <v>2.1977991970974577</v>
      </c>
      <c r="Z406" s="26">
        <f>Table1[[#This Row],[Macaulay Duration in Years]]/(1+Table1[[#This Row],[IRR]])</f>
        <v>2.0228331711594936</v>
      </c>
      <c r="AA406" s="27">
        <f>VLOOKUP(Table1[[#This Row],[Yield Cluster]],'[1]Cluster Details'!$B$3:$C$16,2,0)</f>
        <v>7.8548801574189142E-2</v>
      </c>
      <c r="AB406" s="28">
        <f>PRICE(Table1[[#This Row],[Issue date]],Table1[[#This Row],[Maturity date]],Table1[[#This Row],[Current coupon %]],Table1[[#This Row],[Average Cluster Yield]],100,Table1[[#This Row],[Coupon Frequency2]])*Table1[[#This Row],[Face value]]/100</f>
        <v>102801.12169140797</v>
      </c>
      <c r="AC406" s="27" t="str">
        <f>IF(Table1[[#This Row],[Ask Price]]&gt;Table1[[#This Row],[Calculated Bond Price]],"Rich","Cheap")</f>
        <v>Cheap</v>
      </c>
      <c r="AD406" s="28">
        <f>PRICE(Table1[[#This Row],[Issue date]],Table1[[#This Row],[Maturity date]],Table1[[#This Row],[Current coupon %]],Table1[[#This Row],[Yield (Annualised)]]+$AE$2,100,Table1[[#This Row],[Coupon Frequency2]])*Table1[[#This Row],[Face value]]/100</f>
        <v>98956.945412070112</v>
      </c>
      <c r="AE406" s="28">
        <f>PRICE(Table1[[#This Row],[Issue date]],Table1[[#This Row],[Maturity date]],Table1[[#This Row],[Current coupon %]],Table1[[#This Row],[Yield (Annualised)]]-$AE$2,100,Table1[[#This Row],[Coupon Frequency2]])*Table1[[#This Row],[Face value]]/100</f>
        <v>103254.71352001613</v>
      </c>
      <c r="AF406" s="28">
        <f>(Table1[[#This Row],[P (+ shock)]]+Table1[[#This Row],[P (-shock)]]-2*Table1[[#This Row],[Ask Price]])/(2*Table1[[#This Row],[Ask Price]]*($AE$2^2))</f>
        <v>13.162882289937661</v>
      </c>
    </row>
    <row r="407" spans="1:32" x14ac:dyDescent="0.25">
      <c r="A407" s="21" t="s">
        <v>860</v>
      </c>
      <c r="B407" s="3" t="s">
        <v>861</v>
      </c>
      <c r="C407" s="3" t="s">
        <v>19</v>
      </c>
      <c r="D407" s="4">
        <v>44946</v>
      </c>
      <c r="E407" s="4">
        <v>46042</v>
      </c>
      <c r="F407" s="3">
        <v>1000</v>
      </c>
      <c r="G407" s="3" t="s">
        <v>20</v>
      </c>
      <c r="H407" s="3">
        <v>1059.5</v>
      </c>
      <c r="I407" s="3" t="s">
        <v>20</v>
      </c>
      <c r="J407" s="3">
        <v>105.95</v>
      </c>
      <c r="K407" s="3">
        <v>820</v>
      </c>
      <c r="L407" s="5">
        <v>9.6000000000000002E-2</v>
      </c>
      <c r="M407" s="3" t="s">
        <v>21</v>
      </c>
      <c r="N407" s="3">
        <v>125</v>
      </c>
      <c r="O407" s="6">
        <f>Table1[[#This Row],[Current coupon %]]*Table1[[#This Row],[Face value]]/Table1[[#This Row],[Ask Price]]</f>
        <v>9.0608777725342149E-2</v>
      </c>
      <c r="P407" s="3"/>
      <c r="Q407" s="3" t="s">
        <v>22</v>
      </c>
      <c r="R407">
        <f t="shared" si="6"/>
        <v>3</v>
      </c>
      <c r="S407" s="22" cm="1">
        <f t="array" ref="S407">_xlfn.IFS(Table1[[#This Row],[Coupon frequency]]="Semi-annual",2,Table1[[#This Row],[Coupon frequency]]="Quarterly",4,Table1[[#This Row],[Coupon frequency]]="Annual",1,Table1[[#This Row],[Coupon frequency]]="Every 4 months",3,Table1[[#This Row],[Coupon frequency]]="Monthly",12)</f>
        <v>1</v>
      </c>
      <c r="T407">
        <f>Table1[[#This Row],[Term to Maturity (Years)]]*Table1[[#This Row],[Coupon Frequency2]]</f>
        <v>3</v>
      </c>
      <c r="U407">
        <f>Table1[[#This Row],[Face value]]*Table1[[#This Row],[Current coupon %]]/Table1[[#This Row],[Coupon Frequency2]]</f>
        <v>96</v>
      </c>
      <c r="V407" s="23">
        <f>RATE(Table1[[#This Row],[Total No. of Coupons]],Table1[[#This Row],[Coupon Amount]],-Table1[[#This Row],[Ask Price]],Table1[[#This Row],[Face value]])</f>
        <v>7.3194957936253163E-2</v>
      </c>
      <c r="W407" s="24">
        <f>Table1[[#This Row],[IRR]]*Table1[[#This Row],[Coupon Frequency2]]</f>
        <v>7.3194957936253163E-2</v>
      </c>
      <c r="X407" s="25" cm="1">
        <f t="array" ref="X40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7" s="26">
        <f>DURATION(Table1[[#This Row],[Issue date]],Table1[[#This Row],[Maturity date]],Table1[[#This Row],[Current coupon %]],Table1[[#This Row],[Yield (Annualised)]],Table1[[#This Row],[Coupon Frequency2]])</f>
        <v>2.7524712969756862</v>
      </c>
      <c r="Z407" s="26">
        <f>Table1[[#This Row],[Macaulay Duration in Years]]/(1+Table1[[#This Row],[IRR]])</f>
        <v>2.5647449017731785</v>
      </c>
      <c r="AA407" s="27">
        <f>VLOOKUP(Table1[[#This Row],[Yield Cluster]],'[1]Cluster Details'!$B$3:$C$16,2,0)</f>
        <v>7.8548801574189142E-2</v>
      </c>
      <c r="AB407" s="28">
        <f>PRICE(Table1[[#This Row],[Issue date]],Table1[[#This Row],[Maturity date]],Table1[[#This Row],[Current coupon %]],Table1[[#This Row],[Average Cluster Yield]],100,Table1[[#This Row],[Coupon Frequency2]])*Table1[[#This Row],[Face value]]/100</f>
        <v>1045.0914560073952</v>
      </c>
      <c r="AC407" s="27" t="str">
        <f>IF(Table1[[#This Row],[Ask Price]]&gt;Table1[[#This Row],[Calculated Bond Price]],"Rich","Cheap")</f>
        <v>Rich</v>
      </c>
      <c r="AD407" s="28">
        <f>PRICE(Table1[[#This Row],[Issue date]],Table1[[#This Row],[Maturity date]],Table1[[#This Row],[Current coupon %]],Table1[[#This Row],[Yield (Annualised)]]+$AE$2,100,Table1[[#This Row],[Coupon Frequency2]])*Table1[[#This Row],[Face value]]/100</f>
        <v>1032.8105144106594</v>
      </c>
      <c r="AE407" s="28">
        <f>PRICE(Table1[[#This Row],[Issue date]],Table1[[#This Row],[Maturity date]],Table1[[#This Row],[Current coupon %]],Table1[[#This Row],[Yield (Annualised)]]-$AE$2,100,Table1[[#This Row],[Coupon Frequency2]])*Table1[[#This Row],[Face value]]/100</f>
        <v>1087.1724930434661</v>
      </c>
      <c r="AF407" s="28">
        <f>(Table1[[#This Row],[P (+ shock)]]+Table1[[#This Row],[P (-shock)]]-2*Table1[[#This Row],[Ask Price]])/(2*Table1[[#This Row],[Ask Price]]*($AE$2^2))</f>
        <v>4.639015828813247</v>
      </c>
    </row>
    <row r="408" spans="1:32" x14ac:dyDescent="0.25">
      <c r="A408" s="21" t="s">
        <v>862</v>
      </c>
      <c r="B408" s="3" t="s">
        <v>863</v>
      </c>
      <c r="C408" s="3" t="s">
        <v>19</v>
      </c>
      <c r="D408" s="4">
        <v>45287</v>
      </c>
      <c r="E408" s="4">
        <v>46018</v>
      </c>
      <c r="F408" s="3">
        <v>1000</v>
      </c>
      <c r="G408" s="3" t="s">
        <v>20</v>
      </c>
      <c r="H408" s="3">
        <v>1042.5</v>
      </c>
      <c r="I408" s="3" t="s">
        <v>20</v>
      </c>
      <c r="J408" s="3">
        <v>104.25</v>
      </c>
      <c r="K408" s="3">
        <v>44</v>
      </c>
      <c r="L408" s="5">
        <v>9.6500000000000002E-2</v>
      </c>
      <c r="M408" s="3" t="s">
        <v>21</v>
      </c>
      <c r="N408" s="3">
        <v>101</v>
      </c>
      <c r="O408" s="6">
        <f>Table1[[#This Row],[Current coupon %]]*Table1[[#This Row],[Face value]]/Table1[[#This Row],[Ask Price]]</f>
        <v>9.2565947242206237E-2</v>
      </c>
      <c r="P408" s="3" t="s">
        <v>25</v>
      </c>
      <c r="Q408" s="3" t="s">
        <v>22</v>
      </c>
      <c r="R408">
        <f t="shared" si="6"/>
        <v>2</v>
      </c>
      <c r="S408" s="22" cm="1">
        <f t="array" ref="S408">_xlfn.IFS(Table1[[#This Row],[Coupon frequency]]="Semi-annual",2,Table1[[#This Row],[Coupon frequency]]="Quarterly",4,Table1[[#This Row],[Coupon frequency]]="Annual",1,Table1[[#This Row],[Coupon frequency]]="Every 4 months",3,Table1[[#This Row],[Coupon frequency]]="Monthly",12)</f>
        <v>1</v>
      </c>
      <c r="T408">
        <f>Table1[[#This Row],[Term to Maturity (Years)]]*Table1[[#This Row],[Coupon Frequency2]]</f>
        <v>2</v>
      </c>
      <c r="U408">
        <f>Table1[[#This Row],[Face value]]*Table1[[#This Row],[Current coupon %]]/Table1[[#This Row],[Coupon Frequency2]]</f>
        <v>96.5</v>
      </c>
      <c r="V408" s="23">
        <f>RATE(Table1[[#This Row],[Total No. of Coupons]],Table1[[#This Row],[Coupon Amount]],-Table1[[#This Row],[Ask Price]],Table1[[#This Row],[Face value]])</f>
        <v>7.2899101878542358E-2</v>
      </c>
      <c r="W408" s="24">
        <f>Table1[[#This Row],[IRR]]*Table1[[#This Row],[Coupon Frequency2]]</f>
        <v>7.2899101878542358E-2</v>
      </c>
      <c r="X408" s="25" cm="1">
        <f t="array" ref="X40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8" s="26">
        <f>DURATION(Table1[[#This Row],[Issue date]],Table1[[#This Row],[Maturity date]],Table1[[#This Row],[Current coupon %]],Table1[[#This Row],[Yield (Annualised)]],Table1[[#This Row],[Coupon Frequency2]])</f>
        <v>1.9137235299385258</v>
      </c>
      <c r="Z408" s="26">
        <f>Table1[[#This Row],[Macaulay Duration in Years]]/(1+Table1[[#This Row],[IRR]])</f>
        <v>1.7836938502304471</v>
      </c>
      <c r="AA408" s="27">
        <f>VLOOKUP(Table1[[#This Row],[Yield Cluster]],'[1]Cluster Details'!$B$3:$C$16,2,0)</f>
        <v>7.8548801574189142E-2</v>
      </c>
      <c r="AB408" s="28">
        <f>PRICE(Table1[[#This Row],[Issue date]],Table1[[#This Row],[Maturity date]],Table1[[#This Row],[Current coupon %]],Table1[[#This Row],[Average Cluster Yield]],100,Table1[[#This Row],[Coupon Frequency2]])*Table1[[#This Row],[Face value]]/100</f>
        <v>1032.0755470409078</v>
      </c>
      <c r="AC408" s="27" t="str">
        <f>IF(Table1[[#This Row],[Ask Price]]&gt;Table1[[#This Row],[Calculated Bond Price]],"Rich","Cheap")</f>
        <v>Rich</v>
      </c>
      <c r="AD408" s="28">
        <f>PRICE(Table1[[#This Row],[Issue date]],Table1[[#This Row],[Maturity date]],Table1[[#This Row],[Current coupon %]],Table1[[#This Row],[Yield (Annualised)]]+$AE$2,100,Table1[[#This Row],[Coupon Frequency2]])*Table1[[#This Row],[Face value]]/100</f>
        <v>1024.1579363777744</v>
      </c>
      <c r="AE408" s="28">
        <f>PRICE(Table1[[#This Row],[Issue date]],Table1[[#This Row],[Maturity date]],Table1[[#This Row],[Current coupon %]],Table1[[#This Row],[Yield (Annualised)]]-$AE$2,100,Table1[[#This Row],[Coupon Frequency2]])*Table1[[#This Row],[Face value]]/100</f>
        <v>1061.3542698963063</v>
      </c>
      <c r="AF408" s="28">
        <f>(Table1[[#This Row],[P (+ shock)]]+Table1[[#This Row],[P (-shock)]]-2*Table1[[#This Row],[Ask Price]])/(2*Table1[[#This Row],[Ask Price]]*($AE$2^2))</f>
        <v>2.456624815734552</v>
      </c>
    </row>
    <row r="409" spans="1:32" x14ac:dyDescent="0.25">
      <c r="A409" s="21" t="s">
        <v>864</v>
      </c>
      <c r="B409" s="3" t="s">
        <v>865</v>
      </c>
      <c r="C409" s="3" t="s">
        <v>19</v>
      </c>
      <c r="D409" s="4">
        <v>44564</v>
      </c>
      <c r="E409" s="4">
        <v>47121</v>
      </c>
      <c r="F409" s="3">
        <v>1000</v>
      </c>
      <c r="G409" s="3" t="s">
        <v>20</v>
      </c>
      <c r="H409" s="3">
        <v>961.3</v>
      </c>
      <c r="I409" s="3" t="s">
        <v>20</v>
      </c>
      <c r="J409" s="3">
        <v>96.13</v>
      </c>
      <c r="K409" s="3">
        <v>100</v>
      </c>
      <c r="L409" s="5">
        <v>8.7499999999999994E-2</v>
      </c>
      <c r="M409" s="3" t="s">
        <v>21</v>
      </c>
      <c r="N409" s="3">
        <v>1204</v>
      </c>
      <c r="O409" s="6">
        <f>Table1[[#This Row],[Current coupon %]]*Table1[[#This Row],[Face value]]/Table1[[#This Row],[Ask Price]]</f>
        <v>9.1022573598252374E-2</v>
      </c>
      <c r="P409" s="3"/>
      <c r="Q409" s="3" t="s">
        <v>22</v>
      </c>
      <c r="R409">
        <f t="shared" si="6"/>
        <v>7</v>
      </c>
      <c r="S409" s="22" cm="1">
        <f t="array" ref="S409">_xlfn.IFS(Table1[[#This Row],[Coupon frequency]]="Semi-annual",2,Table1[[#This Row],[Coupon frequency]]="Quarterly",4,Table1[[#This Row],[Coupon frequency]]="Annual",1,Table1[[#This Row],[Coupon frequency]]="Every 4 months",3,Table1[[#This Row],[Coupon frequency]]="Monthly",12)</f>
        <v>1</v>
      </c>
      <c r="T409">
        <f>Table1[[#This Row],[Term to Maturity (Years)]]*Table1[[#This Row],[Coupon Frequency2]]</f>
        <v>7</v>
      </c>
      <c r="U409">
        <f>Table1[[#This Row],[Face value]]*Table1[[#This Row],[Current coupon %]]/Table1[[#This Row],[Coupon Frequency2]]</f>
        <v>87.5</v>
      </c>
      <c r="V409" s="23">
        <f>RATE(Table1[[#This Row],[Total No. of Coupons]],Table1[[#This Row],[Coupon Amount]],-Table1[[#This Row],[Ask Price]],Table1[[#This Row],[Face value]])</f>
        <v>9.5327302033571579E-2</v>
      </c>
      <c r="W409" s="24">
        <f>Table1[[#This Row],[IRR]]*Table1[[#This Row],[Coupon Frequency2]]</f>
        <v>9.5327302033571579E-2</v>
      </c>
      <c r="X409" s="25" cm="1">
        <f t="array" ref="X40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09" s="26">
        <f>DURATION(Table1[[#This Row],[Issue date]],Table1[[#This Row],[Maturity date]],Table1[[#This Row],[Current coupon %]],Table1[[#This Row],[Yield (Annualised)]],Table1[[#This Row],[Coupon Frequency2]])</f>
        <v>5.4871021339305441</v>
      </c>
      <c r="Z409" s="26">
        <f>Table1[[#This Row],[Macaulay Duration in Years]]/(1+Table1[[#This Row],[IRR]])</f>
        <v>5.0095547912877327</v>
      </c>
      <c r="AA409" s="27">
        <f>VLOOKUP(Table1[[#This Row],[Yield Cluster]],'[1]Cluster Details'!$B$3:$C$16,2,0)</f>
        <v>7.8548801574189142E-2</v>
      </c>
      <c r="AB409" s="28">
        <f>PRICE(Table1[[#This Row],[Issue date]],Table1[[#This Row],[Maturity date]],Table1[[#This Row],[Current coupon %]],Table1[[#This Row],[Average Cluster Yield]],100,Table1[[#This Row],[Coupon Frequency2]])*Table1[[#This Row],[Face value]]/100</f>
        <v>1046.8354502342518</v>
      </c>
      <c r="AC409" s="27" t="str">
        <f>IF(Table1[[#This Row],[Ask Price]]&gt;Table1[[#This Row],[Calculated Bond Price]],"Rich","Cheap")</f>
        <v>Cheap</v>
      </c>
      <c r="AD409" s="28">
        <f>PRICE(Table1[[#This Row],[Issue date]],Table1[[#This Row],[Maturity date]],Table1[[#This Row],[Current coupon %]],Table1[[#This Row],[Yield (Annualised)]]+$AE$2,100,Table1[[#This Row],[Coupon Frequency2]])*Table1[[#This Row],[Face value]]/100</f>
        <v>914.71072072316713</v>
      </c>
      <c r="AE409" s="28">
        <f>PRICE(Table1[[#This Row],[Issue date]],Table1[[#This Row],[Maturity date]],Table1[[#This Row],[Current coupon %]],Table1[[#This Row],[Yield (Annualised)]]-$AE$2,100,Table1[[#This Row],[Coupon Frequency2]])*Table1[[#This Row],[Face value]]/100</f>
        <v>1011.1086642350269</v>
      </c>
      <c r="AF409" s="28">
        <f>(Table1[[#This Row],[P (+ shock)]]+Table1[[#This Row],[P (-shock)]]-2*Table1[[#This Row],[Ask Price]])/(2*Table1[[#This Row],[Ask Price]]*($AE$2^2))</f>
        <v>16.744954531332787</v>
      </c>
    </row>
    <row r="410" spans="1:32" x14ac:dyDescent="0.25">
      <c r="A410" s="21" t="s">
        <v>866</v>
      </c>
      <c r="B410" s="3" t="s">
        <v>867</v>
      </c>
      <c r="C410" s="3" t="s">
        <v>19</v>
      </c>
      <c r="D410" s="4">
        <v>45768</v>
      </c>
      <c r="E410" s="4">
        <v>46864</v>
      </c>
      <c r="F410" s="3">
        <v>1000</v>
      </c>
      <c r="G410" s="3" t="s">
        <v>20</v>
      </c>
      <c r="H410" s="3">
        <v>1065</v>
      </c>
      <c r="I410" s="3" t="s">
        <v>20</v>
      </c>
      <c r="J410" s="3">
        <v>106.5</v>
      </c>
      <c r="K410" s="3">
        <v>190</v>
      </c>
      <c r="L410" s="5">
        <v>9.7500000000000003E-2</v>
      </c>
      <c r="M410" s="3" t="s">
        <v>21</v>
      </c>
      <c r="N410" s="3">
        <v>947</v>
      </c>
      <c r="O410" s="6">
        <f>Table1[[#This Row],[Current coupon %]]*Table1[[#This Row],[Face value]]/Table1[[#This Row],[Ask Price]]</f>
        <v>9.154929577464789E-2</v>
      </c>
      <c r="P410" s="3" t="s">
        <v>25</v>
      </c>
      <c r="Q410" s="3" t="s">
        <v>22</v>
      </c>
      <c r="R410">
        <f t="shared" si="6"/>
        <v>3</v>
      </c>
      <c r="S410" s="22" cm="1">
        <f t="array" ref="S410">_xlfn.IFS(Table1[[#This Row],[Coupon frequency]]="Semi-annual",2,Table1[[#This Row],[Coupon frequency]]="Quarterly",4,Table1[[#This Row],[Coupon frequency]]="Annual",1,Table1[[#This Row],[Coupon frequency]]="Every 4 months",3,Table1[[#This Row],[Coupon frequency]]="Monthly",12)</f>
        <v>1</v>
      </c>
      <c r="T410">
        <f>Table1[[#This Row],[Term to Maturity (Years)]]*Table1[[#This Row],[Coupon Frequency2]]</f>
        <v>3</v>
      </c>
      <c r="U410">
        <f>Table1[[#This Row],[Face value]]*Table1[[#This Row],[Current coupon %]]/Table1[[#This Row],[Coupon Frequency2]]</f>
        <v>97.5</v>
      </c>
      <c r="V410" s="23">
        <f>RATE(Table1[[#This Row],[Total No. of Coupons]],Table1[[#This Row],[Coupon Amount]],-Table1[[#This Row],[Ask Price]],Table1[[#This Row],[Face value]])</f>
        <v>7.2613294487831492E-2</v>
      </c>
      <c r="W410" s="24">
        <f>Table1[[#This Row],[IRR]]*Table1[[#This Row],[Coupon Frequency2]]</f>
        <v>7.2613294487831492E-2</v>
      </c>
      <c r="X410" s="25" cm="1">
        <f t="array" ref="X4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0" s="26">
        <f>DURATION(Table1[[#This Row],[Issue date]],Table1[[#This Row],[Maturity date]],Table1[[#This Row],[Current coupon %]],Table1[[#This Row],[Yield (Annualised)]],Table1[[#This Row],[Coupon Frequency2]])</f>
        <v>2.7497231989621356</v>
      </c>
      <c r="Z410" s="26">
        <f>Table1[[#This Row],[Macaulay Duration in Years]]/(1+Table1[[#This Row],[IRR]])</f>
        <v>2.563573669180669</v>
      </c>
      <c r="AA410" s="27">
        <f>VLOOKUP(Table1[[#This Row],[Yield Cluster]],'[1]Cluster Details'!$B$3:$C$16,2,0)</f>
        <v>7.8548801574189142E-2</v>
      </c>
      <c r="AB410" s="28">
        <f>PRICE(Table1[[#This Row],[Issue date]],Table1[[#This Row],[Maturity date]],Table1[[#This Row],[Current coupon %]],Table1[[#This Row],[Average Cluster Yield]],100,Table1[[#This Row],[Coupon Frequency2]])*Table1[[#This Row],[Face value]]/100</f>
        <v>1048.9672462173705</v>
      </c>
      <c r="AC410" s="27" t="str">
        <f>IF(Table1[[#This Row],[Ask Price]]&gt;Table1[[#This Row],[Calculated Bond Price]],"Rich","Cheap")</f>
        <v>Rich</v>
      </c>
      <c r="AD410" s="28">
        <f>PRICE(Table1[[#This Row],[Issue date]],Table1[[#This Row],[Maturity date]],Table1[[#This Row],[Current coupon %]],Table1[[#This Row],[Yield (Annualised)]]+$AE$2,100,Table1[[#This Row],[Coupon Frequency2]])*Table1[[#This Row],[Face value]]/100</f>
        <v>1038.1842972130726</v>
      </c>
      <c r="AE410" s="28">
        <f>PRICE(Table1[[#This Row],[Issue date]],Table1[[#This Row],[Maturity date]],Table1[[#This Row],[Current coupon %]],Table1[[#This Row],[Yield (Annualised)]]-$AE$2,100,Table1[[#This Row],[Coupon Frequency2]])*Table1[[#This Row],[Face value]]/100</f>
        <v>1092.8035294896069</v>
      </c>
      <c r="AF410" s="28">
        <f>(Table1[[#This Row],[P (+ shock)]]+Table1[[#This Row],[P (-shock)]]-2*Table1[[#This Row],[Ask Price]])/(2*Table1[[#This Row],[Ask Price]]*($AE$2^2))</f>
        <v>4.637684050139625</v>
      </c>
    </row>
    <row r="411" spans="1:32" x14ac:dyDescent="0.25">
      <c r="A411" s="21" t="s">
        <v>868</v>
      </c>
      <c r="B411" s="3" t="s">
        <v>869</v>
      </c>
      <c r="C411" s="3" t="s">
        <v>19</v>
      </c>
      <c r="D411" s="4">
        <v>45589</v>
      </c>
      <c r="E411" s="4">
        <v>46319</v>
      </c>
      <c r="F411" s="3">
        <v>1000</v>
      </c>
      <c r="G411" s="3" t="s">
        <v>20</v>
      </c>
      <c r="H411" s="3">
        <v>1046.2</v>
      </c>
      <c r="I411" s="3" t="s">
        <v>20</v>
      </c>
      <c r="J411" s="3">
        <v>104.62</v>
      </c>
      <c r="K411" s="3">
        <v>2</v>
      </c>
      <c r="L411" s="5">
        <v>9.5000000000000001E-2</v>
      </c>
      <c r="M411" s="3" t="s">
        <v>21</v>
      </c>
      <c r="N411" s="3">
        <v>402</v>
      </c>
      <c r="O411" s="6">
        <f>Table1[[#This Row],[Current coupon %]]*Table1[[#This Row],[Face value]]/Table1[[#This Row],[Ask Price]]</f>
        <v>9.080481743452494E-2</v>
      </c>
      <c r="P411" s="3"/>
      <c r="Q411" s="3" t="s">
        <v>22</v>
      </c>
      <c r="R411">
        <f t="shared" si="6"/>
        <v>2</v>
      </c>
      <c r="S411" s="22" cm="1">
        <f t="array" ref="S411">_xlfn.IFS(Table1[[#This Row],[Coupon frequency]]="Semi-annual",2,Table1[[#This Row],[Coupon frequency]]="Quarterly",4,Table1[[#This Row],[Coupon frequency]]="Annual",1,Table1[[#This Row],[Coupon frequency]]="Every 4 months",3,Table1[[#This Row],[Coupon frequency]]="Monthly",12)</f>
        <v>1</v>
      </c>
      <c r="T411">
        <f>Table1[[#This Row],[Term to Maturity (Years)]]*Table1[[#This Row],[Coupon Frequency2]]</f>
        <v>2</v>
      </c>
      <c r="U411">
        <f>Table1[[#This Row],[Face value]]*Table1[[#This Row],[Current coupon %]]/Table1[[#This Row],[Coupon Frequency2]]</f>
        <v>95</v>
      </c>
      <c r="V411" s="23">
        <f>RATE(Table1[[#This Row],[Total No. of Coupons]],Table1[[#This Row],[Coupon Amount]],-Table1[[#This Row],[Ask Price]],Table1[[#This Row],[Face value]])</f>
        <v>6.9466068688252794E-2</v>
      </c>
      <c r="W411" s="24">
        <f>Table1[[#This Row],[IRR]]*Table1[[#This Row],[Coupon Frequency2]]</f>
        <v>6.9466068688252794E-2</v>
      </c>
      <c r="X411" s="25" cm="1">
        <f t="array" ref="X4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1" s="26">
        <f>DURATION(Table1[[#This Row],[Issue date]],Table1[[#This Row],[Maturity date]],Table1[[#This Row],[Current coupon %]],Table1[[#This Row],[Yield (Annualised)]],Table1[[#This Row],[Coupon Frequency2]])</f>
        <v>1.9150933161012746</v>
      </c>
      <c r="Z411" s="26">
        <f>Table1[[#This Row],[Macaulay Duration in Years]]/(1+Table1[[#This Row],[IRR]])</f>
        <v>1.7907003991722905</v>
      </c>
      <c r="AA411" s="27">
        <f>VLOOKUP(Table1[[#This Row],[Yield Cluster]],'[1]Cluster Details'!$B$3:$C$16,2,0)</f>
        <v>7.8548801574189142E-2</v>
      </c>
      <c r="AB411" s="28">
        <f>PRICE(Table1[[#This Row],[Issue date]],Table1[[#This Row],[Maturity date]],Table1[[#This Row],[Current coupon %]],Table1[[#This Row],[Average Cluster Yield]],100,Table1[[#This Row],[Coupon Frequency2]])*Table1[[#This Row],[Face value]]/100</f>
        <v>1029.3953181547861</v>
      </c>
      <c r="AC411" s="27" t="str">
        <f>IF(Table1[[#This Row],[Ask Price]]&gt;Table1[[#This Row],[Calculated Bond Price]],"Rich","Cheap")</f>
        <v>Rich</v>
      </c>
      <c r="AD411" s="28">
        <f>PRICE(Table1[[#This Row],[Issue date]],Table1[[#This Row],[Maturity date]],Table1[[#This Row],[Current coupon %]],Table1[[#This Row],[Yield (Annualised)]]+$AE$2,100,Table1[[#This Row],[Coupon Frequency2]])*Table1[[#This Row],[Face value]]/100</f>
        <v>1027.7214043526458</v>
      </c>
      <c r="AE411" s="28">
        <f>PRICE(Table1[[#This Row],[Issue date]],Table1[[#This Row],[Maturity date]],Table1[[#This Row],[Current coupon %]],Table1[[#This Row],[Yield (Annualised)]]-$AE$2,100,Table1[[#This Row],[Coupon Frequency2]])*Table1[[#This Row],[Face value]]/100</f>
        <v>1065.196426944146</v>
      </c>
      <c r="AF411" s="28">
        <f>(Table1[[#This Row],[P (+ shock)]]+Table1[[#This Row],[P (-shock)]]-2*Table1[[#This Row],[Ask Price]])/(2*Table1[[#This Row],[Ask Price]]*($AE$2^2))</f>
        <v>2.4748198087909961</v>
      </c>
    </row>
    <row r="412" spans="1:32" x14ac:dyDescent="0.25">
      <c r="A412" s="21" t="s">
        <v>870</v>
      </c>
      <c r="B412" s="3" t="s">
        <v>871</v>
      </c>
      <c r="C412" s="3" t="s">
        <v>19</v>
      </c>
      <c r="D412" s="4">
        <v>44832</v>
      </c>
      <c r="E412" s="4">
        <v>46658</v>
      </c>
      <c r="F412" s="3">
        <v>1000</v>
      </c>
      <c r="G412" s="3" t="s">
        <v>20</v>
      </c>
      <c r="H412" s="3">
        <v>1051.73</v>
      </c>
      <c r="I412" s="3" t="s">
        <v>20</v>
      </c>
      <c r="J412" s="3">
        <v>105.173</v>
      </c>
      <c r="K412" s="3">
        <v>55</v>
      </c>
      <c r="L412" s="5">
        <v>9.5500000000000002E-2</v>
      </c>
      <c r="M412" s="3" t="s">
        <v>21</v>
      </c>
      <c r="N412" s="3">
        <v>741</v>
      </c>
      <c r="O412" s="6">
        <f>Table1[[#This Row],[Current coupon %]]*Table1[[#This Row],[Face value]]/Table1[[#This Row],[Ask Price]]</f>
        <v>9.0802772574710242E-2</v>
      </c>
      <c r="P412" s="3" t="s">
        <v>25</v>
      </c>
      <c r="Q412" s="3" t="s">
        <v>22</v>
      </c>
      <c r="R412">
        <f t="shared" si="6"/>
        <v>5</v>
      </c>
      <c r="S412" s="22" cm="1">
        <f t="array" ref="S412">_xlfn.IFS(Table1[[#This Row],[Coupon frequency]]="Semi-annual",2,Table1[[#This Row],[Coupon frequency]]="Quarterly",4,Table1[[#This Row],[Coupon frequency]]="Annual",1,Table1[[#This Row],[Coupon frequency]]="Every 4 months",3,Table1[[#This Row],[Coupon frequency]]="Monthly",12)</f>
        <v>1</v>
      </c>
      <c r="T412">
        <f>Table1[[#This Row],[Term to Maturity (Years)]]*Table1[[#This Row],[Coupon Frequency2]]</f>
        <v>5</v>
      </c>
      <c r="U412">
        <f>Table1[[#This Row],[Face value]]*Table1[[#This Row],[Current coupon %]]/Table1[[#This Row],[Coupon Frequency2]]</f>
        <v>95.5</v>
      </c>
      <c r="V412" s="23">
        <f>RATE(Table1[[#This Row],[Total No. of Coupons]],Table1[[#This Row],[Coupon Amount]],-Table1[[#This Row],[Ask Price]],Table1[[#This Row],[Face value]])</f>
        <v>8.2459782624185407E-2</v>
      </c>
      <c r="W412" s="24">
        <f>Table1[[#This Row],[IRR]]*Table1[[#This Row],[Coupon Frequency2]]</f>
        <v>8.2459782624185407E-2</v>
      </c>
      <c r="X412" s="25" cm="1">
        <f t="array" ref="X4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2" s="26">
        <f>DURATION(Table1[[#This Row],[Issue date]],Table1[[#This Row],[Maturity date]],Table1[[#This Row],[Current coupon %]],Table1[[#This Row],[Yield (Annualised)]],Table1[[#This Row],[Coupon Frequency2]])</f>
        <v>4.2226497286832494</v>
      </c>
      <c r="Z412" s="26">
        <f>Table1[[#This Row],[Macaulay Duration in Years]]/(1+Table1[[#This Row],[IRR]])</f>
        <v>3.9009760884107534</v>
      </c>
      <c r="AA412" s="27">
        <f>VLOOKUP(Table1[[#This Row],[Yield Cluster]],'[1]Cluster Details'!$B$3:$C$16,2,0)</f>
        <v>7.8548801574189142E-2</v>
      </c>
      <c r="AB412" s="28">
        <f>PRICE(Table1[[#This Row],[Issue date]],Table1[[#This Row],[Maturity date]],Table1[[#This Row],[Current coupon %]],Table1[[#This Row],[Average Cluster Yield]],100,Table1[[#This Row],[Coupon Frequency2]])*Table1[[#This Row],[Face value]]/100</f>
        <v>1067.9408802618509</v>
      </c>
      <c r="AC412" s="27" t="str">
        <f>IF(Table1[[#This Row],[Ask Price]]&gt;Table1[[#This Row],[Calculated Bond Price]],"Rich","Cheap")</f>
        <v>Cheap</v>
      </c>
      <c r="AD412" s="28">
        <f>PRICE(Table1[[#This Row],[Issue date]],Table1[[#This Row],[Maturity date]],Table1[[#This Row],[Current coupon %]],Table1[[#This Row],[Yield (Annualised)]]+$AE$2,100,Table1[[#This Row],[Coupon Frequency2]])*Table1[[#This Row],[Face value]]/100</f>
        <v>1011.7502956908762</v>
      </c>
      <c r="AE412" s="28">
        <f>PRICE(Table1[[#This Row],[Issue date]],Table1[[#This Row],[Maturity date]],Table1[[#This Row],[Current coupon %]],Table1[[#This Row],[Yield (Annualised)]]-$AE$2,100,Table1[[#This Row],[Coupon Frequency2]])*Table1[[#This Row],[Face value]]/100</f>
        <v>1093.8504981740584</v>
      </c>
      <c r="AF412" s="28">
        <f>(Table1[[#This Row],[P (+ shock)]]+Table1[[#This Row],[P (-shock)]]-2*Table1[[#This Row],[Ask Price]])/(2*Table1[[#This Row],[Ask Price]]*($AE$2^2))</f>
        <v>10.177487876805332</v>
      </c>
    </row>
    <row r="413" spans="1:32" x14ac:dyDescent="0.25">
      <c r="A413" s="21" t="s">
        <v>872</v>
      </c>
      <c r="B413" s="3" t="s">
        <v>873</v>
      </c>
      <c r="C413" s="3" t="s">
        <v>19</v>
      </c>
      <c r="D413" s="4">
        <v>42639</v>
      </c>
      <c r="E413" s="4">
        <v>46291</v>
      </c>
      <c r="F413" s="3">
        <v>1000</v>
      </c>
      <c r="G413" s="3" t="s">
        <v>20</v>
      </c>
      <c r="H413" s="3">
        <v>975</v>
      </c>
      <c r="I413" s="3" t="s">
        <v>20</v>
      </c>
      <c r="J413" s="3">
        <v>97.5</v>
      </c>
      <c r="K413" s="3">
        <v>15</v>
      </c>
      <c r="L413" s="5">
        <v>8.8499999999999995E-2</v>
      </c>
      <c r="M413" s="3" t="s">
        <v>21</v>
      </c>
      <c r="N413" s="3">
        <v>374</v>
      </c>
      <c r="O413" s="6">
        <f>Table1[[#This Row],[Current coupon %]]*Table1[[#This Row],[Face value]]/Table1[[#This Row],[Ask Price]]</f>
        <v>9.0769230769230769E-2</v>
      </c>
      <c r="P413" s="3" t="s">
        <v>25</v>
      </c>
      <c r="Q413" s="3" t="s">
        <v>22</v>
      </c>
      <c r="R413">
        <f t="shared" si="6"/>
        <v>10</v>
      </c>
      <c r="S413" s="22" cm="1">
        <f t="array" ref="S413">_xlfn.IFS(Table1[[#This Row],[Coupon frequency]]="Semi-annual",2,Table1[[#This Row],[Coupon frequency]]="Quarterly",4,Table1[[#This Row],[Coupon frequency]]="Annual",1,Table1[[#This Row],[Coupon frequency]]="Every 4 months",3,Table1[[#This Row],[Coupon frequency]]="Monthly",12)</f>
        <v>1</v>
      </c>
      <c r="T413">
        <f>Table1[[#This Row],[Term to Maturity (Years)]]*Table1[[#This Row],[Coupon Frequency2]]</f>
        <v>10</v>
      </c>
      <c r="U413">
        <f>Table1[[#This Row],[Face value]]*Table1[[#This Row],[Current coupon %]]/Table1[[#This Row],[Coupon Frequency2]]</f>
        <v>88.5</v>
      </c>
      <c r="V413" s="23">
        <f>RATE(Table1[[#This Row],[Total No. of Coupons]],Table1[[#This Row],[Coupon Amount]],-Table1[[#This Row],[Ask Price]],Table1[[#This Row],[Face value]])</f>
        <v>9.243739490608037E-2</v>
      </c>
      <c r="W413" s="24">
        <f>Table1[[#This Row],[IRR]]*Table1[[#This Row],[Coupon Frequency2]]</f>
        <v>9.243739490608037E-2</v>
      </c>
      <c r="X413" s="25" cm="1">
        <f t="array" ref="X4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3" s="26">
        <f>DURATION(Table1[[#This Row],[Issue date]],Table1[[#This Row],[Maturity date]],Table1[[#This Row],[Current coupon %]],Table1[[#This Row],[Yield (Annualised)]],Table1[[#This Row],[Coupon Frequency2]])</f>
        <v>6.9915844783678756</v>
      </c>
      <c r="Z413" s="26">
        <f>Table1[[#This Row],[Macaulay Duration in Years]]/(1+Table1[[#This Row],[IRR]])</f>
        <v>6.3999864074306609</v>
      </c>
      <c r="AA413" s="27">
        <f>VLOOKUP(Table1[[#This Row],[Yield Cluster]],'[1]Cluster Details'!$B$3:$C$16,2,0)</f>
        <v>7.8548801574189142E-2</v>
      </c>
      <c r="AB413" s="28">
        <f>PRICE(Table1[[#This Row],[Issue date]],Table1[[#This Row],[Maturity date]],Table1[[#This Row],[Current coupon %]],Table1[[#This Row],[Average Cluster Yield]],100,Table1[[#This Row],[Coupon Frequency2]])*Table1[[#This Row],[Face value]]/100</f>
        <v>1067.2126389909424</v>
      </c>
      <c r="AC413" s="27" t="str">
        <f>IF(Table1[[#This Row],[Ask Price]]&gt;Table1[[#This Row],[Calculated Bond Price]],"Rich","Cheap")</f>
        <v>Cheap</v>
      </c>
      <c r="AD413" s="28">
        <f>PRICE(Table1[[#This Row],[Issue date]],Table1[[#This Row],[Maturity date]],Table1[[#This Row],[Current coupon %]],Table1[[#This Row],[Yield (Annualised)]]+$AE$2,100,Table1[[#This Row],[Coupon Frequency2]])*Table1[[#This Row],[Face value]]/100</f>
        <v>915.2501524868469</v>
      </c>
      <c r="AE413" s="28">
        <f>PRICE(Table1[[#This Row],[Issue date]],Table1[[#This Row],[Maturity date]],Table1[[#This Row],[Current coupon %]],Table1[[#This Row],[Yield (Annualised)]]-$AE$2,100,Table1[[#This Row],[Coupon Frequency2]])*Table1[[#This Row],[Face value]]/100</f>
        <v>1040.2371053163884</v>
      </c>
      <c r="AF413" s="28">
        <f>(Table1[[#This Row],[P (+ shock)]]+Table1[[#This Row],[P (-shock)]]-2*Table1[[#This Row],[Ask Price]])/(2*Table1[[#This Row],[Ask Price]]*($AE$2^2))</f>
        <v>28.139783606334625</v>
      </c>
    </row>
    <row r="414" spans="1:32" x14ac:dyDescent="0.25">
      <c r="A414" s="21" t="s">
        <v>874</v>
      </c>
      <c r="B414" s="3" t="s">
        <v>875</v>
      </c>
      <c r="C414" s="3" t="s">
        <v>19</v>
      </c>
      <c r="D414" s="4">
        <v>45309</v>
      </c>
      <c r="E414" s="4">
        <v>46040</v>
      </c>
      <c r="F414" s="3">
        <v>1000</v>
      </c>
      <c r="G414" s="3" t="s">
        <v>20</v>
      </c>
      <c r="H414" s="3">
        <v>1041</v>
      </c>
      <c r="I414" s="3" t="s">
        <v>20</v>
      </c>
      <c r="J414" s="3">
        <v>104.1</v>
      </c>
      <c r="K414" s="3">
        <v>117</v>
      </c>
      <c r="L414" s="5">
        <v>9.4100000000000003E-2</v>
      </c>
      <c r="M414" s="3" t="s">
        <v>21</v>
      </c>
      <c r="N414" s="3">
        <v>123</v>
      </c>
      <c r="O414" s="6">
        <f>Table1[[#This Row],[Current coupon %]]*Table1[[#This Row],[Face value]]/Table1[[#This Row],[Ask Price]]</f>
        <v>9.0393852065321814E-2</v>
      </c>
      <c r="P414" s="3"/>
      <c r="Q414" s="3" t="s">
        <v>22</v>
      </c>
      <c r="R414">
        <f t="shared" si="6"/>
        <v>2</v>
      </c>
      <c r="S414" s="22" cm="1">
        <f t="array" ref="S414">_xlfn.IFS(Table1[[#This Row],[Coupon frequency]]="Semi-annual",2,Table1[[#This Row],[Coupon frequency]]="Quarterly",4,Table1[[#This Row],[Coupon frequency]]="Annual",1,Table1[[#This Row],[Coupon frequency]]="Every 4 months",3,Table1[[#This Row],[Coupon frequency]]="Monthly",12)</f>
        <v>1</v>
      </c>
      <c r="T414">
        <f>Table1[[#This Row],[Term to Maturity (Years)]]*Table1[[#This Row],[Coupon Frequency2]]</f>
        <v>2</v>
      </c>
      <c r="U414">
        <f>Table1[[#This Row],[Face value]]*Table1[[#This Row],[Current coupon %]]/Table1[[#This Row],[Coupon Frequency2]]</f>
        <v>94.100000000000009</v>
      </c>
      <c r="V414" s="23">
        <f>RATE(Table1[[#This Row],[Total No. of Coupons]],Table1[[#This Row],[Coupon Amount]],-Table1[[#This Row],[Ask Price]],Table1[[#This Row],[Face value]])</f>
        <v>7.1379856925564381E-2</v>
      </c>
      <c r="W414" s="24">
        <f>Table1[[#This Row],[IRR]]*Table1[[#This Row],[Coupon Frequency2]]</f>
        <v>7.1379856925564381E-2</v>
      </c>
      <c r="X414" s="25" cm="1">
        <f t="array" ref="X4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4" s="26">
        <f>DURATION(Table1[[#This Row],[Issue date]],Table1[[#This Row],[Maturity date]],Table1[[#This Row],[Current coupon %]],Table1[[#This Row],[Yield (Annualised)]],Table1[[#This Row],[Coupon Frequency2]])</f>
        <v>1.9156285686341754</v>
      </c>
      <c r="Z414" s="26">
        <f>Table1[[#This Row],[Macaulay Duration in Years]]/(1+Table1[[#This Row],[IRR]])</f>
        <v>1.7880012922132682</v>
      </c>
      <c r="AA414" s="27">
        <f>VLOOKUP(Table1[[#This Row],[Yield Cluster]],'[1]Cluster Details'!$B$3:$C$16,2,0)</f>
        <v>7.8548801574189142E-2</v>
      </c>
      <c r="AB414" s="28">
        <f>PRICE(Table1[[#This Row],[Issue date]],Table1[[#This Row],[Maturity date]],Table1[[#This Row],[Current coupon %]],Table1[[#This Row],[Average Cluster Yield]],100,Table1[[#This Row],[Coupon Frequency2]])*Table1[[#This Row],[Face value]]/100</f>
        <v>1027.787180823113</v>
      </c>
      <c r="AC414" s="27" t="str">
        <f>IF(Table1[[#This Row],[Ask Price]]&gt;Table1[[#This Row],[Calculated Bond Price]],"Rich","Cheap")</f>
        <v>Rich</v>
      </c>
      <c r="AD414" s="28">
        <f>PRICE(Table1[[#This Row],[Issue date]],Table1[[#This Row],[Maturity date]],Table1[[#This Row],[Current coupon %]],Table1[[#This Row],[Yield (Annualised)]]+$AE$2,100,Table1[[#This Row],[Coupon Frequency2]])*Table1[[#This Row],[Face value]]/100</f>
        <v>1022.6405405848004</v>
      </c>
      <c r="AE414" s="28">
        <f>PRICE(Table1[[#This Row],[Issue date]],Table1[[#This Row],[Maturity date]],Table1[[#This Row],[Current coupon %]],Table1[[#This Row],[Yield (Annualised)]]-$AE$2,100,Table1[[#This Row],[Coupon Frequency2]])*Table1[[#This Row],[Face value]]/100</f>
        <v>1059.8730716916657</v>
      </c>
      <c r="AF414" s="28">
        <f>(Table1[[#This Row],[P (+ shock)]]+Table1[[#This Row],[P (-shock)]]-2*Table1[[#This Row],[Ask Price]])/(2*Table1[[#This Row],[Ask Price]]*($AE$2^2))</f>
        <v>2.4669177544001899</v>
      </c>
    </row>
    <row r="415" spans="1:32" x14ac:dyDescent="0.25">
      <c r="A415" s="21" t="s">
        <v>876</v>
      </c>
      <c r="B415" s="3" t="s">
        <v>877</v>
      </c>
      <c r="C415" s="3" t="s">
        <v>19</v>
      </c>
      <c r="D415" s="4">
        <v>45825</v>
      </c>
      <c r="E415" s="4">
        <v>46555</v>
      </c>
      <c r="F415" s="3">
        <v>100000</v>
      </c>
      <c r="G415" s="3" t="s">
        <v>20</v>
      </c>
      <c r="H415" s="3">
        <v>100907.75</v>
      </c>
      <c r="I415" s="3" t="s">
        <v>20</v>
      </c>
      <c r="J415" s="3">
        <v>100.90774999999999</v>
      </c>
      <c r="K415" s="3">
        <v>1</v>
      </c>
      <c r="L415" s="5">
        <v>9.1499999999999998E-2</v>
      </c>
      <c r="M415" s="3" t="s">
        <v>44</v>
      </c>
      <c r="N415" s="3">
        <v>638</v>
      </c>
      <c r="O415" s="6">
        <f>Table1[[#This Row],[Current coupon %]]*Table1[[#This Row],[Face value]]/Table1[[#This Row],[Ask Price]]</f>
        <v>9.0676880616206393E-2</v>
      </c>
      <c r="P415" s="3"/>
      <c r="Q415" s="3" t="s">
        <v>22</v>
      </c>
      <c r="R415">
        <f t="shared" si="6"/>
        <v>2</v>
      </c>
      <c r="S415" s="22" cm="1">
        <f t="array" ref="S415">_xlfn.IFS(Table1[[#This Row],[Coupon frequency]]="Semi-annual",2,Table1[[#This Row],[Coupon frequency]]="Quarterly",4,Table1[[#This Row],[Coupon frequency]]="Annual",1,Table1[[#This Row],[Coupon frequency]]="Every 4 months",3,Table1[[#This Row],[Coupon frequency]]="Monthly",12)</f>
        <v>4</v>
      </c>
      <c r="T415">
        <f>Table1[[#This Row],[Term to Maturity (Years)]]*Table1[[#This Row],[Coupon Frequency2]]</f>
        <v>8</v>
      </c>
      <c r="U415">
        <f>Table1[[#This Row],[Face value]]*Table1[[#This Row],[Current coupon %]]/Table1[[#This Row],[Coupon Frequency2]]</f>
        <v>2287.5</v>
      </c>
      <c r="V415" s="23">
        <f>RATE(Table1[[#This Row],[Total No. of Coupons]],Table1[[#This Row],[Coupon Amount]],-Table1[[#This Row],[Ask Price]],Table1[[#This Row],[Face value]])</f>
        <v>2.162712709608839E-2</v>
      </c>
      <c r="W415" s="24">
        <f>Table1[[#This Row],[IRR]]*Table1[[#This Row],[Coupon Frequency2]]</f>
        <v>8.6508508384353561E-2</v>
      </c>
      <c r="X415" s="25" cm="1">
        <f t="array" ref="X4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5" s="26">
        <f>DURATION(Table1[[#This Row],[Issue date]],Table1[[#This Row],[Maturity date]],Table1[[#This Row],[Current coupon %]],Table1[[#This Row],[Yield (Annualised)]],Table1[[#This Row],[Coupon Frequency2]])</f>
        <v>1.8510798512312281</v>
      </c>
      <c r="Z415" s="26">
        <f>Table1[[#This Row],[Macaulay Duration in Years]]/(1+Table1[[#This Row],[IRR]])</f>
        <v>1.8118937938666602</v>
      </c>
      <c r="AA415" s="27">
        <f>VLOOKUP(Table1[[#This Row],[Yield Cluster]],'[1]Cluster Details'!$B$3:$C$16,2,0)</f>
        <v>7.8548801574189142E-2</v>
      </c>
      <c r="AB415" s="28">
        <f>PRICE(Table1[[#This Row],[Issue date]],Table1[[#This Row],[Maturity date]],Table1[[#This Row],[Current coupon %]],Table1[[#This Row],[Average Cluster Yield]],100,Table1[[#This Row],[Coupon Frequency2]])*Table1[[#This Row],[Face value]]/100</f>
        <v>102375.55711419713</v>
      </c>
      <c r="AC415" s="27" t="str">
        <f>IF(Table1[[#This Row],[Ask Price]]&gt;Table1[[#This Row],[Calculated Bond Price]],"Rich","Cheap")</f>
        <v>Cheap</v>
      </c>
      <c r="AD415" s="28">
        <f>PRICE(Table1[[#This Row],[Issue date]],Table1[[#This Row],[Maturity date]],Table1[[#This Row],[Current coupon %]],Table1[[#This Row],[Yield (Annualised)]]+$AE$2,100,Table1[[#This Row],[Coupon Frequency2]])*Table1[[#This Row],[Face value]]/100</f>
        <v>99098.85692382975</v>
      </c>
      <c r="AE415" s="28">
        <f>PRICE(Table1[[#This Row],[Issue date]],Table1[[#This Row],[Maturity date]],Table1[[#This Row],[Current coupon %]],Table1[[#This Row],[Yield (Annualised)]]-$AE$2,100,Table1[[#This Row],[Coupon Frequency2]])*Table1[[#This Row],[Face value]]/100</f>
        <v>102755.85503190177</v>
      </c>
      <c r="AF415" s="28">
        <f>(Table1[[#This Row],[P (+ shock)]]+Table1[[#This Row],[P (-shock)]]-2*Table1[[#This Row],[Ask Price]])/(2*Table1[[#This Row],[Ask Price]]*($AE$2^2))</f>
        <v>1.9429605620728736</v>
      </c>
    </row>
    <row r="416" spans="1:32" x14ac:dyDescent="0.25">
      <c r="A416" s="21" t="s">
        <v>878</v>
      </c>
      <c r="B416" s="3" t="s">
        <v>879</v>
      </c>
      <c r="C416" s="3" t="s">
        <v>19</v>
      </c>
      <c r="D416" s="4">
        <v>45231</v>
      </c>
      <c r="E416" s="4">
        <v>47058</v>
      </c>
      <c r="F416" s="3">
        <v>1000</v>
      </c>
      <c r="G416" s="3" t="s">
        <v>20</v>
      </c>
      <c r="H416" s="3">
        <v>1041.3</v>
      </c>
      <c r="I416" s="3" t="s">
        <v>20</v>
      </c>
      <c r="J416" s="3">
        <v>104.13</v>
      </c>
      <c r="K416" s="3">
        <v>10</v>
      </c>
      <c r="L416" s="5">
        <v>9.4399999999999998E-2</v>
      </c>
      <c r="M416" s="3" t="s">
        <v>21</v>
      </c>
      <c r="N416" s="3">
        <v>1141</v>
      </c>
      <c r="O416" s="6">
        <f>Table1[[#This Row],[Current coupon %]]*Table1[[#This Row],[Face value]]/Table1[[#This Row],[Ask Price]]</f>
        <v>9.0655910880629978E-2</v>
      </c>
      <c r="P416" s="3"/>
      <c r="Q416" s="3" t="s">
        <v>22</v>
      </c>
      <c r="R416">
        <f t="shared" si="6"/>
        <v>5</v>
      </c>
      <c r="S416" s="22" cm="1">
        <f t="array" ref="S416">_xlfn.IFS(Table1[[#This Row],[Coupon frequency]]="Semi-annual",2,Table1[[#This Row],[Coupon frequency]]="Quarterly",4,Table1[[#This Row],[Coupon frequency]]="Annual",1,Table1[[#This Row],[Coupon frequency]]="Every 4 months",3,Table1[[#This Row],[Coupon frequency]]="Monthly",12)</f>
        <v>1</v>
      </c>
      <c r="T416">
        <f>Table1[[#This Row],[Term to Maturity (Years)]]*Table1[[#This Row],[Coupon Frequency2]]</f>
        <v>5</v>
      </c>
      <c r="U416">
        <f>Table1[[#This Row],[Face value]]*Table1[[#This Row],[Current coupon %]]/Table1[[#This Row],[Coupon Frequency2]]</f>
        <v>94.399999999999991</v>
      </c>
      <c r="V416" s="23">
        <f>RATE(Table1[[#This Row],[Total No. of Coupons]],Table1[[#This Row],[Coupon Amount]],-Table1[[#This Row],[Ask Price]],Table1[[#This Row],[Face value]])</f>
        <v>8.3948282841305455E-2</v>
      </c>
      <c r="W416" s="24">
        <f>Table1[[#This Row],[IRR]]*Table1[[#This Row],[Coupon Frequency2]]</f>
        <v>8.3948282841305455E-2</v>
      </c>
      <c r="X416" s="25" cm="1">
        <f t="array" ref="X4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6" s="26">
        <f>DURATION(Table1[[#This Row],[Issue date]],Table1[[#This Row],[Maturity date]],Table1[[#This Row],[Current coupon %]],Table1[[#This Row],[Yield (Annualised)]],Table1[[#This Row],[Coupon Frequency2]])</f>
        <v>4.2259541205384776</v>
      </c>
      <c r="Z416" s="26">
        <f>Table1[[#This Row],[Macaulay Duration in Years]]/(1+Table1[[#This Row],[IRR]])</f>
        <v>3.898667664716597</v>
      </c>
      <c r="AA416" s="27">
        <f>VLOOKUP(Table1[[#This Row],[Yield Cluster]],'[1]Cluster Details'!$B$3:$C$16,2,0)</f>
        <v>7.8548801574189142E-2</v>
      </c>
      <c r="AB416" s="28">
        <f>PRICE(Table1[[#This Row],[Issue date]],Table1[[#This Row],[Maturity date]],Table1[[#This Row],[Current coupon %]],Table1[[#This Row],[Average Cluster Yield]],100,Table1[[#This Row],[Coupon Frequency2]])*Table1[[#This Row],[Face value]]/100</f>
        <v>1063.532049310156</v>
      </c>
      <c r="AC416" s="27" t="str">
        <f>IF(Table1[[#This Row],[Ask Price]]&gt;Table1[[#This Row],[Calculated Bond Price]],"Rich","Cheap")</f>
        <v>Cheap</v>
      </c>
      <c r="AD416" s="28">
        <f>PRICE(Table1[[#This Row],[Issue date]],Table1[[#This Row],[Maturity date]],Table1[[#This Row],[Current coupon %]],Table1[[#This Row],[Yield (Annualised)]]+$AE$2,100,Table1[[#This Row],[Coupon Frequency2]])*Table1[[#This Row],[Face value]]/100</f>
        <v>1001.7391689662443</v>
      </c>
      <c r="AE416" s="28">
        <f>PRICE(Table1[[#This Row],[Issue date]],Table1[[#This Row],[Maturity date]],Table1[[#This Row],[Current coupon %]],Table1[[#This Row],[Yield (Annualised)]]-$AE$2,100,Table1[[#This Row],[Coupon Frequency2]])*Table1[[#This Row],[Face value]]/100</f>
        <v>1082.9769861087393</v>
      </c>
      <c r="AF416" s="28">
        <f>(Table1[[#This Row],[P (+ shock)]]+Table1[[#This Row],[P (-shock)]]-2*Table1[[#This Row],[Ask Price]])/(2*Table1[[#This Row],[Ask Price]]*($AE$2^2))</f>
        <v>10.161121074538814</v>
      </c>
    </row>
    <row r="417" spans="1:32" x14ac:dyDescent="0.25">
      <c r="A417" s="21" t="s">
        <v>880</v>
      </c>
      <c r="B417" s="3" t="s">
        <v>881</v>
      </c>
      <c r="C417" s="3" t="s">
        <v>19</v>
      </c>
      <c r="D417" s="4">
        <v>45560</v>
      </c>
      <c r="E417" s="4">
        <v>46290</v>
      </c>
      <c r="F417" s="3">
        <v>1000</v>
      </c>
      <c r="G417" s="3" t="s">
        <v>20</v>
      </c>
      <c r="H417" s="3">
        <v>1050</v>
      </c>
      <c r="I417" s="3" t="s">
        <v>20</v>
      </c>
      <c r="J417" s="3">
        <v>105</v>
      </c>
      <c r="K417" s="3">
        <v>178</v>
      </c>
      <c r="L417" s="5">
        <v>9.6500000000000002E-2</v>
      </c>
      <c r="M417" s="3" t="s">
        <v>21</v>
      </c>
      <c r="N417" s="3">
        <v>373</v>
      </c>
      <c r="O417" s="6">
        <f>Table1[[#This Row],[Current coupon %]]*Table1[[#This Row],[Face value]]/Table1[[#This Row],[Ask Price]]</f>
        <v>9.1904761904761906E-2</v>
      </c>
      <c r="P417" s="3" t="s">
        <v>25</v>
      </c>
      <c r="Q417" s="3" t="s">
        <v>22</v>
      </c>
      <c r="R417">
        <f t="shared" si="6"/>
        <v>2</v>
      </c>
      <c r="S417" s="22" cm="1">
        <f t="array" ref="S417">_xlfn.IFS(Table1[[#This Row],[Coupon frequency]]="Semi-annual",2,Table1[[#This Row],[Coupon frequency]]="Quarterly",4,Table1[[#This Row],[Coupon frequency]]="Annual",1,Table1[[#This Row],[Coupon frequency]]="Every 4 months",3,Table1[[#This Row],[Coupon frequency]]="Monthly",12)</f>
        <v>1</v>
      </c>
      <c r="T417">
        <f>Table1[[#This Row],[Term to Maturity (Years)]]*Table1[[#This Row],[Coupon Frequency2]]</f>
        <v>2</v>
      </c>
      <c r="U417">
        <f>Table1[[#This Row],[Face value]]*Table1[[#This Row],[Current coupon %]]/Table1[[#This Row],[Coupon Frequency2]]</f>
        <v>96.5</v>
      </c>
      <c r="V417" s="23">
        <f>RATE(Table1[[#This Row],[Total No. of Coupons]],Table1[[#This Row],[Coupon Amount]],-Table1[[#This Row],[Ask Price]],Table1[[#This Row],[Face value]])</f>
        <v>6.8888026826997795E-2</v>
      </c>
      <c r="W417" s="24">
        <f>Table1[[#This Row],[IRR]]*Table1[[#This Row],[Coupon Frequency2]]</f>
        <v>6.8888026826997795E-2</v>
      </c>
      <c r="X417" s="25" cm="1">
        <f t="array" ref="X4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7" s="26">
        <f>DURATION(Table1[[#This Row],[Issue date]],Table1[[#This Row],[Maturity date]],Table1[[#This Row],[Current coupon %]],Table1[[#This Row],[Yield (Annualised)]],Table1[[#This Row],[Coupon Frequency2]])</f>
        <v>1.9140183446739665</v>
      </c>
      <c r="Z417" s="26">
        <f>Table1[[#This Row],[Macaulay Duration in Years]]/(1+Table1[[#This Row],[IRR]])</f>
        <v>1.7906630971961996</v>
      </c>
      <c r="AA417" s="27">
        <f>VLOOKUP(Table1[[#This Row],[Yield Cluster]],'[1]Cluster Details'!$B$3:$C$16,2,0)</f>
        <v>7.8548801574189142E-2</v>
      </c>
      <c r="AB417" s="28">
        <f>PRICE(Table1[[#This Row],[Issue date]],Table1[[#This Row],[Maturity date]],Table1[[#This Row],[Current coupon %]],Table1[[#This Row],[Average Cluster Yield]],100,Table1[[#This Row],[Coupon Frequency2]])*Table1[[#This Row],[Face value]]/100</f>
        <v>1032.0755470409078</v>
      </c>
      <c r="AC417" s="27" t="str">
        <f>IF(Table1[[#This Row],[Ask Price]]&gt;Table1[[#This Row],[Calculated Bond Price]],"Rich","Cheap")</f>
        <v>Rich</v>
      </c>
      <c r="AD417" s="28">
        <f>PRICE(Table1[[#This Row],[Issue date]],Table1[[#This Row],[Maturity date]],Table1[[#This Row],[Current coupon %]],Table1[[#This Row],[Yield (Annualised)]]+$AE$2,100,Table1[[#This Row],[Coupon Frequency2]])*Table1[[#This Row],[Face value]]/100</f>
        <v>1031.4547593086647</v>
      </c>
      <c r="AE417" s="28">
        <f>PRICE(Table1[[#This Row],[Issue date]],Table1[[#This Row],[Maturity date]],Table1[[#This Row],[Current coupon %]],Table1[[#This Row],[Yield (Annualised)]]-$AE$2,100,Table1[[#This Row],[Coupon Frequency2]])*Table1[[#This Row],[Face value]]/100</f>
        <v>1069.0651199552544</v>
      </c>
      <c r="AF417" s="28">
        <f>(Table1[[#This Row],[P (+ shock)]]+Table1[[#This Row],[P (-shock)]]-2*Table1[[#This Row],[Ask Price]])/(2*Table1[[#This Row],[Ask Price]]*($AE$2^2))</f>
        <v>2.4756155424732977</v>
      </c>
    </row>
    <row r="418" spans="1:32" x14ac:dyDescent="0.25">
      <c r="A418" s="21" t="s">
        <v>882</v>
      </c>
      <c r="B418" s="3" t="s">
        <v>883</v>
      </c>
      <c r="C418" s="3" t="s">
        <v>19</v>
      </c>
      <c r="D418" s="4">
        <v>43473</v>
      </c>
      <c r="E418" s="4">
        <v>47126</v>
      </c>
      <c r="F418" s="3">
        <v>1000000</v>
      </c>
      <c r="G418" s="3" t="s">
        <v>20</v>
      </c>
      <c r="H418" s="3">
        <v>927400</v>
      </c>
      <c r="I418" s="3" t="s">
        <v>20</v>
      </c>
      <c r="J418" s="3">
        <v>92.74</v>
      </c>
      <c r="K418" s="3">
        <v>2</v>
      </c>
      <c r="L418" s="5">
        <v>8.4000000000000005E-2</v>
      </c>
      <c r="M418" s="3" t="s">
        <v>21</v>
      </c>
      <c r="N418" s="3">
        <v>1209</v>
      </c>
      <c r="O418" s="6">
        <f>Table1[[#This Row],[Current coupon %]]*Table1[[#This Row],[Face value]]/Table1[[#This Row],[Ask Price]]</f>
        <v>9.0575803321112786E-2</v>
      </c>
      <c r="P418" s="3" t="s">
        <v>297</v>
      </c>
      <c r="Q418" s="3" t="s">
        <v>22</v>
      </c>
      <c r="R418">
        <f t="shared" si="6"/>
        <v>10</v>
      </c>
      <c r="S418" s="22" cm="1">
        <f t="array" ref="S418">_xlfn.IFS(Table1[[#This Row],[Coupon frequency]]="Semi-annual",2,Table1[[#This Row],[Coupon frequency]]="Quarterly",4,Table1[[#This Row],[Coupon frequency]]="Annual",1,Table1[[#This Row],[Coupon frequency]]="Every 4 months",3,Table1[[#This Row],[Coupon frequency]]="Monthly",12)</f>
        <v>1</v>
      </c>
      <c r="T418">
        <f>Table1[[#This Row],[Term to Maturity (Years)]]*Table1[[#This Row],[Coupon Frequency2]]</f>
        <v>10</v>
      </c>
      <c r="U418">
        <f>Table1[[#This Row],[Face value]]*Table1[[#This Row],[Current coupon %]]/Table1[[#This Row],[Coupon Frequency2]]</f>
        <v>84000</v>
      </c>
      <c r="V418" s="23">
        <f>RATE(Table1[[#This Row],[Total No. of Coupons]],Table1[[#This Row],[Coupon Amount]],-Table1[[#This Row],[Ask Price]],Table1[[#This Row],[Face value]])</f>
        <v>9.5592531351441246E-2</v>
      </c>
      <c r="W418" s="24">
        <f>Table1[[#This Row],[IRR]]*Table1[[#This Row],[Coupon Frequency2]]</f>
        <v>9.5592531351441246E-2</v>
      </c>
      <c r="X418" s="25" cm="1">
        <f t="array" ref="X4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8" s="26">
        <f>DURATION(Table1[[#This Row],[Issue date]],Table1[[#This Row],[Maturity date]],Table1[[#This Row],[Current coupon %]],Table1[[#This Row],[Yield (Annualised)]],Table1[[#This Row],[Coupon Frequency2]])</f>
        <v>7.0260349359121248</v>
      </c>
      <c r="Z418" s="26">
        <f>Table1[[#This Row],[Macaulay Duration in Years]]/(1+Table1[[#This Row],[IRR]])</f>
        <v>6.4130000295322684</v>
      </c>
      <c r="AA418" s="27">
        <f>VLOOKUP(Table1[[#This Row],[Yield Cluster]],'[1]Cluster Details'!$B$3:$C$16,2,0)</f>
        <v>7.8548801574189142E-2</v>
      </c>
      <c r="AB418" s="28">
        <f>PRICE(Table1[[#This Row],[Issue date]],Table1[[#This Row],[Maturity date]],Table1[[#This Row],[Current coupon %]],Table1[[#This Row],[Average Cluster Yield]],100,Table1[[#This Row],[Coupon Frequency2]])*Table1[[#This Row],[Face value]]/100</f>
        <v>1036818.6238666192</v>
      </c>
      <c r="AC418" s="27" t="str">
        <f>IF(Table1[[#This Row],[Ask Price]]&gt;Table1[[#This Row],[Calculated Bond Price]],"Rich","Cheap")</f>
        <v>Cheap</v>
      </c>
      <c r="AD418" s="28">
        <f>PRICE(Table1[[#This Row],[Issue date]],Table1[[#This Row],[Maturity date]],Table1[[#This Row],[Current coupon %]],Table1[[#This Row],[Yield (Annualised)]]+$AE$2,100,Table1[[#This Row],[Coupon Frequency2]])*Table1[[#This Row],[Face value]]/100</f>
        <v>870451.79331397382</v>
      </c>
      <c r="AE418" s="28">
        <f>PRICE(Table1[[#This Row],[Issue date]],Table1[[#This Row],[Maturity date]],Table1[[#This Row],[Current coupon %]],Table1[[#This Row],[Yield (Annualised)]]-$AE$2,100,Table1[[#This Row],[Coupon Frequency2]])*Table1[[#This Row],[Face value]]/100</f>
        <v>989578.37820040167</v>
      </c>
      <c r="AF418" s="28">
        <f>(Table1[[#This Row],[P (+ shock)]]+Table1[[#This Row],[P (-shock)]]-2*Table1[[#This Row],[Ask Price]])/(2*Table1[[#This Row],[Ask Price]]*($AE$2^2))</f>
        <v>28.198034906057799</v>
      </c>
    </row>
    <row r="419" spans="1:32" x14ac:dyDescent="0.25">
      <c r="A419" s="21" t="s">
        <v>884</v>
      </c>
      <c r="B419" s="3" t="s">
        <v>885</v>
      </c>
      <c r="C419" s="3" t="s">
        <v>19</v>
      </c>
      <c r="D419" s="4">
        <v>45881</v>
      </c>
      <c r="E419" s="4">
        <v>46611</v>
      </c>
      <c r="F419" s="3">
        <v>100000</v>
      </c>
      <c r="G419" s="3" t="s">
        <v>20</v>
      </c>
      <c r="H419" s="3">
        <v>100572.88</v>
      </c>
      <c r="I419" s="3" t="s">
        <v>20</v>
      </c>
      <c r="J419" s="3">
        <v>100.57288</v>
      </c>
      <c r="K419" s="3">
        <v>8</v>
      </c>
      <c r="L419" s="5">
        <v>9.0999999999999998E-2</v>
      </c>
      <c r="M419" s="3" t="s">
        <v>44</v>
      </c>
      <c r="N419" s="3">
        <v>694</v>
      </c>
      <c r="O419" s="6">
        <f>Table1[[#This Row],[Current coupon %]]*Table1[[#This Row],[Face value]]/Table1[[#This Row],[Ask Price]]</f>
        <v>9.0481648730751263E-2</v>
      </c>
      <c r="P419" s="3"/>
      <c r="Q419" s="3" t="s">
        <v>22</v>
      </c>
      <c r="R419">
        <f t="shared" si="6"/>
        <v>2</v>
      </c>
      <c r="S419" s="22" cm="1">
        <f t="array" ref="S419">_xlfn.IFS(Table1[[#This Row],[Coupon frequency]]="Semi-annual",2,Table1[[#This Row],[Coupon frequency]]="Quarterly",4,Table1[[#This Row],[Coupon frequency]]="Annual",1,Table1[[#This Row],[Coupon frequency]]="Every 4 months",3,Table1[[#This Row],[Coupon frequency]]="Monthly",12)</f>
        <v>4</v>
      </c>
      <c r="T419">
        <f>Table1[[#This Row],[Term to Maturity (Years)]]*Table1[[#This Row],[Coupon Frequency2]]</f>
        <v>8</v>
      </c>
      <c r="U419">
        <f>Table1[[#This Row],[Face value]]*Table1[[#This Row],[Current coupon %]]/Table1[[#This Row],[Coupon Frequency2]]</f>
        <v>2275</v>
      </c>
      <c r="V419" s="23">
        <f>RATE(Table1[[#This Row],[Total No. of Coupons]],Table1[[#This Row],[Coupon Amount]],-Table1[[#This Row],[Ask Price]],Table1[[#This Row],[Face value]])</f>
        <v>2.1961338005990583E-2</v>
      </c>
      <c r="W419" s="24">
        <f>Table1[[#This Row],[IRR]]*Table1[[#This Row],[Coupon Frequency2]]</f>
        <v>8.7845352023962334E-2</v>
      </c>
      <c r="X419" s="25" cm="1">
        <f t="array" ref="X4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19" s="26">
        <f>DURATION(Table1[[#This Row],[Issue date]],Table1[[#This Row],[Maturity date]],Table1[[#This Row],[Current coupon %]],Table1[[#This Row],[Yield (Annualised)]],Table1[[#This Row],[Coupon Frequency2]])</f>
        <v>1.8515431187816078</v>
      </c>
      <c r="Z419" s="26">
        <f>Table1[[#This Row],[Macaulay Duration in Years]]/(1+Table1[[#This Row],[IRR]])</f>
        <v>1.8117545644087314</v>
      </c>
      <c r="AA419" s="27">
        <f>VLOOKUP(Table1[[#This Row],[Yield Cluster]],'[1]Cluster Details'!$B$3:$C$16,2,0)</f>
        <v>7.8548801574189142E-2</v>
      </c>
      <c r="AB419" s="28">
        <f>PRICE(Table1[[#This Row],[Issue date]],Table1[[#This Row],[Maturity date]],Table1[[#This Row],[Current coupon %]],Table1[[#This Row],[Average Cluster Yield]],100,Table1[[#This Row],[Coupon Frequency2]])*Table1[[#This Row],[Face value]]/100</f>
        <v>102283.84524954594</v>
      </c>
      <c r="AC419" s="27" t="str">
        <f>IF(Table1[[#This Row],[Ask Price]]&gt;Table1[[#This Row],[Calculated Bond Price]],"Rich","Cheap")</f>
        <v>Cheap</v>
      </c>
      <c r="AD419" s="28">
        <f>PRICE(Table1[[#This Row],[Issue date]],Table1[[#This Row],[Maturity date]],Table1[[#This Row],[Current coupon %]],Table1[[#This Row],[Yield (Annualised)]]+$AE$2,100,Table1[[#This Row],[Coupon Frequency2]])*Table1[[#This Row],[Face value]]/100</f>
        <v>98770.124038995156</v>
      </c>
      <c r="AE419" s="28">
        <f>PRICE(Table1[[#This Row],[Issue date]],Table1[[#This Row],[Maturity date]],Table1[[#This Row],[Current coupon %]],Table1[[#This Row],[Yield (Annualised)]]-$AE$2,100,Table1[[#This Row],[Coupon Frequency2]])*Table1[[#This Row],[Face value]]/100</f>
        <v>102414.70588637437</v>
      </c>
      <c r="AF419" s="28">
        <f>(Table1[[#This Row],[P (+ shock)]]+Table1[[#This Row],[P (-shock)]]-2*Table1[[#This Row],[Ask Price]])/(2*Table1[[#This Row],[Ask Price]]*($AE$2^2))</f>
        <v>1.9423688259459309</v>
      </c>
    </row>
    <row r="420" spans="1:32" x14ac:dyDescent="0.25">
      <c r="A420" s="21" t="s">
        <v>886</v>
      </c>
      <c r="B420" s="3" t="s">
        <v>887</v>
      </c>
      <c r="C420" s="3" t="s">
        <v>19</v>
      </c>
      <c r="D420" s="4">
        <v>45573</v>
      </c>
      <c r="E420" s="4">
        <v>46303</v>
      </c>
      <c r="F420" s="3">
        <v>1000</v>
      </c>
      <c r="G420" s="3" t="s">
        <v>20</v>
      </c>
      <c r="H420" s="3">
        <v>1050.2</v>
      </c>
      <c r="I420" s="3" t="s">
        <v>20</v>
      </c>
      <c r="J420" s="3">
        <v>105.02</v>
      </c>
      <c r="K420" s="3">
        <v>10</v>
      </c>
      <c r="L420" s="5">
        <v>9.5000000000000001E-2</v>
      </c>
      <c r="M420" s="3" t="s">
        <v>21</v>
      </c>
      <c r="N420" s="3">
        <v>386</v>
      </c>
      <c r="O420" s="6">
        <f>Table1[[#This Row],[Current coupon %]]*Table1[[#This Row],[Face value]]/Table1[[#This Row],[Ask Price]]</f>
        <v>9.0458960198057506E-2</v>
      </c>
      <c r="P420" s="3"/>
      <c r="Q420" s="3" t="s">
        <v>22</v>
      </c>
      <c r="R420">
        <f t="shared" si="6"/>
        <v>2</v>
      </c>
      <c r="S420" s="22" cm="1">
        <f t="array" ref="S420">_xlfn.IFS(Table1[[#This Row],[Coupon frequency]]="Semi-annual",2,Table1[[#This Row],[Coupon frequency]]="Quarterly",4,Table1[[#This Row],[Coupon frequency]]="Annual",1,Table1[[#This Row],[Coupon frequency]]="Every 4 months",3,Table1[[#This Row],[Coupon frequency]]="Monthly",12)</f>
        <v>1</v>
      </c>
      <c r="T420">
        <f>Table1[[#This Row],[Term to Maturity (Years)]]*Table1[[#This Row],[Coupon Frequency2]]</f>
        <v>2</v>
      </c>
      <c r="U420">
        <f>Table1[[#This Row],[Face value]]*Table1[[#This Row],[Current coupon %]]/Table1[[#This Row],[Coupon Frequency2]]</f>
        <v>95</v>
      </c>
      <c r="V420" s="23">
        <f>RATE(Table1[[#This Row],[Total No. of Coupons]],Table1[[#This Row],[Coupon Amount]],-Table1[[#This Row],[Ask Price]],Table1[[#This Row],[Face value]])</f>
        <v>6.73372274037288E-2</v>
      </c>
      <c r="W420" s="24">
        <f>Table1[[#This Row],[IRR]]*Table1[[#This Row],[Coupon Frequency2]]</f>
        <v>6.73372274037288E-2</v>
      </c>
      <c r="X420" s="25" cm="1">
        <f t="array" ref="X4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0" s="26">
        <f>DURATION(Table1[[#This Row],[Issue date]],Table1[[#This Row],[Maturity date]],Table1[[#This Row],[Current coupon %]],Table1[[#This Row],[Yield (Annualised)]],Table1[[#This Row],[Coupon Frequency2]])</f>
        <v>1.9152480042150331</v>
      </c>
      <c r="Z420" s="26">
        <f>Table1[[#This Row],[Macaulay Duration in Years]]/(1+Table1[[#This Row],[IRR]])</f>
        <v>1.7944169425007561</v>
      </c>
      <c r="AA420" s="27">
        <f>VLOOKUP(Table1[[#This Row],[Yield Cluster]],'[1]Cluster Details'!$B$3:$C$16,2,0)</f>
        <v>7.8548801574189142E-2</v>
      </c>
      <c r="AB420" s="28">
        <f>PRICE(Table1[[#This Row],[Issue date]],Table1[[#This Row],[Maturity date]],Table1[[#This Row],[Current coupon %]],Table1[[#This Row],[Average Cluster Yield]],100,Table1[[#This Row],[Coupon Frequency2]])*Table1[[#This Row],[Face value]]/100</f>
        <v>1029.3953181547861</v>
      </c>
      <c r="AC420" s="27" t="str">
        <f>IF(Table1[[#This Row],[Ask Price]]&gt;Table1[[#This Row],[Calculated Bond Price]],"Rich","Cheap")</f>
        <v>Rich</v>
      </c>
      <c r="AD420" s="28">
        <f>PRICE(Table1[[#This Row],[Issue date]],Table1[[#This Row],[Maturity date]],Table1[[#This Row],[Current coupon %]],Table1[[#This Row],[Yield (Annualised)]]+$AE$2,100,Table1[[#This Row],[Coupon Frequency2]])*Table1[[#This Row],[Face value]]/100</f>
        <v>1031.6127696843741</v>
      </c>
      <c r="AE420" s="28">
        <f>PRICE(Table1[[#This Row],[Issue date]],Table1[[#This Row],[Maturity date]],Table1[[#This Row],[Current coupon %]],Table1[[#This Row],[Yield (Annualised)]]-$AE$2,100,Table1[[#This Row],[Coupon Frequency2]])*Table1[[#This Row],[Face value]]/100</f>
        <v>1069.309174449925</v>
      </c>
      <c r="AF420" s="28">
        <f>(Table1[[#This Row],[P (+ shock)]]+Table1[[#This Row],[P (-shock)]]-2*Table1[[#This Row],[Ask Price]])/(2*Table1[[#This Row],[Ask Price]]*($AE$2^2))</f>
        <v>2.4849749300097446</v>
      </c>
    </row>
    <row r="421" spans="1:32" x14ac:dyDescent="0.25">
      <c r="A421" s="21" t="s">
        <v>888</v>
      </c>
      <c r="B421" s="3" t="s">
        <v>889</v>
      </c>
      <c r="C421" s="3" t="s">
        <v>19</v>
      </c>
      <c r="D421" s="4">
        <v>45225</v>
      </c>
      <c r="E421" s="4">
        <v>46321</v>
      </c>
      <c r="F421" s="3">
        <v>1000</v>
      </c>
      <c r="G421" s="3" t="s">
        <v>20</v>
      </c>
      <c r="H421" s="3">
        <v>1062</v>
      </c>
      <c r="I421" s="3" t="s">
        <v>20</v>
      </c>
      <c r="J421" s="3">
        <v>106.2</v>
      </c>
      <c r="K421" s="3">
        <v>15</v>
      </c>
      <c r="L421" s="5">
        <v>9.6000000000000002E-2</v>
      </c>
      <c r="M421" s="3" t="s">
        <v>21</v>
      </c>
      <c r="N421" s="3">
        <v>404</v>
      </c>
      <c r="O421" s="6">
        <f>Table1[[#This Row],[Current coupon %]]*Table1[[#This Row],[Face value]]/Table1[[#This Row],[Ask Price]]</f>
        <v>9.03954802259887E-2</v>
      </c>
      <c r="P421" s="3"/>
      <c r="Q421" s="3" t="s">
        <v>22</v>
      </c>
      <c r="R421">
        <f t="shared" si="6"/>
        <v>3</v>
      </c>
      <c r="S421" s="22" cm="1">
        <f t="array" ref="S421">_xlfn.IFS(Table1[[#This Row],[Coupon frequency]]="Semi-annual",2,Table1[[#This Row],[Coupon frequency]]="Quarterly",4,Table1[[#This Row],[Coupon frequency]]="Annual",1,Table1[[#This Row],[Coupon frequency]]="Every 4 months",3,Table1[[#This Row],[Coupon frequency]]="Monthly",12)</f>
        <v>1</v>
      </c>
      <c r="T421">
        <f>Table1[[#This Row],[Term to Maturity (Years)]]*Table1[[#This Row],[Coupon Frequency2]]</f>
        <v>3</v>
      </c>
      <c r="U421">
        <f>Table1[[#This Row],[Face value]]*Table1[[#This Row],[Current coupon %]]/Table1[[#This Row],[Coupon Frequency2]]</f>
        <v>96</v>
      </c>
      <c r="V421" s="23">
        <f>RATE(Table1[[#This Row],[Total No. of Coupons]],Table1[[#This Row],[Coupon Amount]],-Table1[[#This Row],[Ask Price]],Table1[[#This Row],[Face value]])</f>
        <v>7.2276470741107046E-2</v>
      </c>
      <c r="W421" s="24">
        <f>Table1[[#This Row],[IRR]]*Table1[[#This Row],[Coupon Frequency2]]</f>
        <v>7.2276470741107046E-2</v>
      </c>
      <c r="X421" s="25" cm="1">
        <f t="array" ref="X4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1" s="26">
        <f>DURATION(Table1[[#This Row],[Issue date]],Table1[[#This Row],[Maturity date]],Table1[[#This Row],[Current coupon %]],Table1[[#This Row],[Yield (Annualised)]],Table1[[#This Row],[Coupon Frequency2]])</f>
        <v>2.7527751769754305</v>
      </c>
      <c r="Z421" s="26">
        <f>Table1[[#This Row],[Macaulay Duration in Years]]/(1+Table1[[#This Row],[IRR]])</f>
        <v>2.5672251999270692</v>
      </c>
      <c r="AA421" s="27">
        <f>VLOOKUP(Table1[[#This Row],[Yield Cluster]],'[1]Cluster Details'!$B$3:$C$16,2,0)</f>
        <v>7.8548801574189142E-2</v>
      </c>
      <c r="AB421" s="28">
        <f>PRICE(Table1[[#This Row],[Issue date]],Table1[[#This Row],[Maturity date]],Table1[[#This Row],[Current coupon %]],Table1[[#This Row],[Average Cluster Yield]],100,Table1[[#This Row],[Coupon Frequency2]])*Table1[[#This Row],[Face value]]/100</f>
        <v>1045.0914560073952</v>
      </c>
      <c r="AC421" s="27" t="str">
        <f>IF(Table1[[#This Row],[Ask Price]]&gt;Table1[[#This Row],[Calculated Bond Price]],"Rich","Cheap")</f>
        <v>Rich</v>
      </c>
      <c r="AD421" s="28">
        <f>PRICE(Table1[[#This Row],[Issue date]],Table1[[#This Row],[Maturity date]],Table1[[#This Row],[Current coupon %]],Table1[[#This Row],[Yield (Annualised)]]+$AE$2,100,Table1[[#This Row],[Coupon Frequency2]])*Table1[[#This Row],[Face value]]/100</f>
        <v>1035.2220934911131</v>
      </c>
      <c r="AE421" s="28">
        <f>PRICE(Table1[[#This Row],[Issue date]],Table1[[#This Row],[Maturity date]],Table1[[#This Row],[Current coupon %]],Table1[[#This Row],[Yield (Annualised)]]-$AE$2,100,Table1[[#This Row],[Coupon Frequency2]])*Table1[[#This Row],[Face value]]/100</f>
        <v>1089.7650676265107</v>
      </c>
      <c r="AF421" s="28">
        <f>(Table1[[#This Row],[P (+ shock)]]+Table1[[#This Row],[P (-shock)]]-2*Table1[[#This Row],[Ask Price]])/(2*Table1[[#This Row],[Ask Price]]*($AE$2^2))</f>
        <v>4.6476512129192793</v>
      </c>
    </row>
    <row r="422" spans="1:32" x14ac:dyDescent="0.25">
      <c r="A422" s="21" t="s">
        <v>890</v>
      </c>
      <c r="B422" s="3" t="s">
        <v>891</v>
      </c>
      <c r="C422" s="3" t="s">
        <v>19</v>
      </c>
      <c r="D422" s="4">
        <v>45281</v>
      </c>
      <c r="E422" s="4">
        <v>46012</v>
      </c>
      <c r="F422" s="3">
        <v>1000</v>
      </c>
      <c r="G422" s="3" t="s">
        <v>20</v>
      </c>
      <c r="H422" s="3">
        <v>1050.5</v>
      </c>
      <c r="I422" s="3" t="s">
        <v>20</v>
      </c>
      <c r="J422" s="3">
        <v>105.05</v>
      </c>
      <c r="K422" s="3">
        <v>30</v>
      </c>
      <c r="L422" s="5">
        <v>9.6000000000000002E-2</v>
      </c>
      <c r="M422" s="3" t="s">
        <v>21</v>
      </c>
      <c r="N422" s="3">
        <v>95</v>
      </c>
      <c r="O422" s="6">
        <f>Table1[[#This Row],[Current coupon %]]*Table1[[#This Row],[Face value]]/Table1[[#This Row],[Ask Price]]</f>
        <v>9.1385054735840077E-2</v>
      </c>
      <c r="P422" s="3"/>
      <c r="Q422" s="3" t="s">
        <v>22</v>
      </c>
      <c r="R422">
        <f t="shared" si="6"/>
        <v>2</v>
      </c>
      <c r="S422" s="22" cm="1">
        <f t="array" ref="S422">_xlfn.IFS(Table1[[#This Row],[Coupon frequency]]="Semi-annual",2,Table1[[#This Row],[Coupon frequency]]="Quarterly",4,Table1[[#This Row],[Coupon frequency]]="Annual",1,Table1[[#This Row],[Coupon frequency]]="Every 4 months",3,Table1[[#This Row],[Coupon frequency]]="Monthly",12)</f>
        <v>1</v>
      </c>
      <c r="T422">
        <f>Table1[[#This Row],[Term to Maturity (Years)]]*Table1[[#This Row],[Coupon Frequency2]]</f>
        <v>2</v>
      </c>
      <c r="U422">
        <f>Table1[[#This Row],[Face value]]*Table1[[#This Row],[Current coupon %]]/Table1[[#This Row],[Coupon Frequency2]]</f>
        <v>96</v>
      </c>
      <c r="V422" s="23">
        <f>RATE(Table1[[#This Row],[Total No. of Coupons]],Table1[[#This Row],[Coupon Amount]],-Table1[[#This Row],[Ask Price]],Table1[[#This Row],[Face value]])</f>
        <v>6.814082204665696E-2</v>
      </c>
      <c r="W422" s="24">
        <f>Table1[[#This Row],[IRR]]*Table1[[#This Row],[Coupon Frequency2]]</f>
        <v>6.814082204665696E-2</v>
      </c>
      <c r="X422" s="25" cm="1">
        <f t="array" ref="X4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2" s="26">
        <f>DURATION(Table1[[#This Row],[Issue date]],Table1[[#This Row],[Maturity date]],Table1[[#This Row],[Current coupon %]],Table1[[#This Row],[Yield (Annualised)]],Table1[[#This Row],[Coupon Frequency2]])</f>
        <v>1.9144447503085416</v>
      </c>
      <c r="Z422" s="26">
        <f>Table1[[#This Row],[Macaulay Duration in Years]]/(1+Table1[[#This Row],[IRR]])</f>
        <v>1.7923149371262561</v>
      </c>
      <c r="AA422" s="27">
        <f>VLOOKUP(Table1[[#This Row],[Yield Cluster]],'[1]Cluster Details'!$B$3:$C$16,2,0)</f>
        <v>7.8548801574189142E-2</v>
      </c>
      <c r="AB422" s="28">
        <f>PRICE(Table1[[#This Row],[Issue date]],Table1[[#This Row],[Maturity date]],Table1[[#This Row],[Current coupon %]],Table1[[#This Row],[Average Cluster Yield]],100,Table1[[#This Row],[Coupon Frequency2]])*Table1[[#This Row],[Face value]]/100</f>
        <v>1031.1821374122003</v>
      </c>
      <c r="AC422" s="27" t="str">
        <f>IF(Table1[[#This Row],[Ask Price]]&gt;Table1[[#This Row],[Calculated Bond Price]],"Rich","Cheap")</f>
        <v>Rich</v>
      </c>
      <c r="AD422" s="28">
        <f>PRICE(Table1[[#This Row],[Issue date]],Table1[[#This Row],[Maturity date]],Table1[[#This Row],[Current coupon %]],Table1[[#This Row],[Yield (Annualised)]]+$AE$2,100,Table1[[#This Row],[Coupon Frequency2]])*Table1[[#This Row],[Face value]]/100</f>
        <v>1031.9290103628869</v>
      </c>
      <c r="AE422" s="28">
        <f>PRICE(Table1[[#This Row],[Issue date]],Table1[[#This Row],[Maturity date]],Table1[[#This Row],[Current coupon %]],Table1[[#This Row],[Yield (Annualised)]]-$AE$2,100,Table1[[#This Row],[Coupon Frequency2]])*Table1[[#This Row],[Face value]]/100</f>
        <v>1069.5920015905699</v>
      </c>
      <c r="AF422" s="28">
        <f>(Table1[[#This Row],[P (+ shock)]]+Table1[[#This Row],[P (-shock)]]-2*Table1[[#This Row],[Ask Price]])/(2*Table1[[#This Row],[Ask Price]]*($AE$2^2))</f>
        <v>2.4798284314934023</v>
      </c>
    </row>
    <row r="423" spans="1:32" x14ac:dyDescent="0.25">
      <c r="A423" s="21" t="s">
        <v>892</v>
      </c>
      <c r="B423" s="3" t="s">
        <v>893</v>
      </c>
      <c r="C423" s="3" t="s">
        <v>19</v>
      </c>
      <c r="D423" s="4">
        <v>42860</v>
      </c>
      <c r="E423" s="4">
        <v>46507</v>
      </c>
      <c r="F423" s="3">
        <v>100000</v>
      </c>
      <c r="G423" s="3" t="s">
        <v>20</v>
      </c>
      <c r="H423" s="3">
        <v>107900</v>
      </c>
      <c r="I423" s="3" t="s">
        <v>20</v>
      </c>
      <c r="J423" s="3">
        <v>107.899999999999</v>
      </c>
      <c r="K423" s="3">
        <v>40</v>
      </c>
      <c r="L423" s="5">
        <v>9.7500000000000003E-2</v>
      </c>
      <c r="M423" s="3" t="s">
        <v>21</v>
      </c>
      <c r="N423" s="3">
        <v>590</v>
      </c>
      <c r="O423" s="6">
        <f>Table1[[#This Row],[Current coupon %]]*Table1[[#This Row],[Face value]]/Table1[[#This Row],[Ask Price]]</f>
        <v>9.036144578313253E-2</v>
      </c>
      <c r="P423" s="3"/>
      <c r="Q423" s="3" t="s">
        <v>22</v>
      </c>
      <c r="R423">
        <f t="shared" si="6"/>
        <v>10</v>
      </c>
      <c r="S423" s="22" cm="1">
        <f t="array" ref="S423">_xlfn.IFS(Table1[[#This Row],[Coupon frequency]]="Semi-annual",2,Table1[[#This Row],[Coupon frequency]]="Quarterly",4,Table1[[#This Row],[Coupon frequency]]="Annual",1,Table1[[#This Row],[Coupon frequency]]="Every 4 months",3,Table1[[#This Row],[Coupon frequency]]="Monthly",12)</f>
        <v>1</v>
      </c>
      <c r="T423">
        <f>Table1[[#This Row],[Term to Maturity (Years)]]*Table1[[#This Row],[Coupon Frequency2]]</f>
        <v>10</v>
      </c>
      <c r="U423">
        <f>Table1[[#This Row],[Face value]]*Table1[[#This Row],[Current coupon %]]/Table1[[#This Row],[Coupon Frequency2]]</f>
        <v>9750</v>
      </c>
      <c r="V423" s="23">
        <f>RATE(Table1[[#This Row],[Total No. of Coupons]],Table1[[#This Row],[Coupon Amount]],-Table1[[#This Row],[Ask Price]],Table1[[#This Row],[Face value]])</f>
        <v>8.5436371008542414E-2</v>
      </c>
      <c r="W423" s="24">
        <f>Table1[[#This Row],[IRR]]*Table1[[#This Row],[Coupon Frequency2]]</f>
        <v>8.5436371008542414E-2</v>
      </c>
      <c r="X423" s="25" cm="1">
        <f t="array" ref="X4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3" s="26">
        <f>DURATION(Table1[[#This Row],[Issue date]],Table1[[#This Row],[Maturity date]],Table1[[#This Row],[Current coupon %]],Table1[[#This Row],[Yield (Annualised)]],Table1[[#This Row],[Coupon Frequency2]])</f>
        <v>6.9275036195562274</v>
      </c>
      <c r="Z423" s="26">
        <f>Table1[[#This Row],[Macaulay Duration in Years]]/(1+Table1[[#This Row],[IRR]])</f>
        <v>6.3822291242364386</v>
      </c>
      <c r="AA423" s="27">
        <f>VLOOKUP(Table1[[#This Row],[Yield Cluster]],'[1]Cluster Details'!$B$3:$C$16,2,0)</f>
        <v>7.8548801574189142E-2</v>
      </c>
      <c r="AB423" s="28">
        <f>PRICE(Table1[[#This Row],[Issue date]],Table1[[#This Row],[Maturity date]],Table1[[#This Row],[Current coupon %]],Table1[[#This Row],[Average Cluster Yield]],100,Table1[[#This Row],[Coupon Frequency2]])*Table1[[#This Row],[Face value]]/100</f>
        <v>112783.17830609332</v>
      </c>
      <c r="AC423" s="27" t="str">
        <f>IF(Table1[[#This Row],[Ask Price]]&gt;Table1[[#This Row],[Calculated Bond Price]],"Rich","Cheap")</f>
        <v>Cheap</v>
      </c>
      <c r="AD423" s="28">
        <f>PRICE(Table1[[#This Row],[Issue date]],Table1[[#This Row],[Maturity date]],Table1[[#This Row],[Current coupon %]],Table1[[#This Row],[Yield (Annualised)]]+$AE$2,100,Table1[[#This Row],[Coupon Frequency2]])*Table1[[#This Row],[Face value]]/100</f>
        <v>101286.15891250802</v>
      </c>
      <c r="AE423" s="28">
        <f>PRICE(Table1[[#This Row],[Issue date]],Table1[[#This Row],[Maturity date]],Table1[[#This Row],[Current coupon %]],Table1[[#This Row],[Yield (Annualised)]]-$AE$2,100,Table1[[#This Row],[Coupon Frequency2]])*Table1[[#This Row],[Face value]]/100</f>
        <v>115095.4420224131</v>
      </c>
      <c r="AF423" s="28">
        <f>(Table1[[#This Row],[P (+ shock)]]+Table1[[#This Row],[P (-shock)]]-2*Table1[[#This Row],[Ask Price]])/(2*Table1[[#This Row],[Ask Price]]*($AE$2^2))</f>
        <v>26.950923768356049</v>
      </c>
    </row>
    <row r="424" spans="1:32" x14ac:dyDescent="0.25">
      <c r="A424" s="21" t="s">
        <v>894</v>
      </c>
      <c r="B424" s="3" t="s">
        <v>895</v>
      </c>
      <c r="C424" s="3" t="s">
        <v>19</v>
      </c>
      <c r="D424" s="4">
        <v>40302</v>
      </c>
      <c r="E424" s="4">
        <v>47607</v>
      </c>
      <c r="F424" s="3">
        <v>1000000</v>
      </c>
      <c r="G424" s="3" t="s">
        <v>20</v>
      </c>
      <c r="H424" s="3">
        <v>1075000</v>
      </c>
      <c r="I424" s="3" t="s">
        <v>20</v>
      </c>
      <c r="J424" s="3">
        <v>107.5</v>
      </c>
      <c r="K424" s="3">
        <v>1</v>
      </c>
      <c r="L424" s="5">
        <v>9.6999999999999989E-2</v>
      </c>
      <c r="M424" s="3" t="s">
        <v>21</v>
      </c>
      <c r="N424" s="3">
        <v>1690</v>
      </c>
      <c r="O424" s="6">
        <f>Table1[[#This Row],[Current coupon %]]*Table1[[#This Row],[Face value]]/Table1[[#This Row],[Ask Price]]</f>
        <v>9.0232558139534874E-2</v>
      </c>
      <c r="P424" s="3"/>
      <c r="Q424" s="3" t="s">
        <v>22</v>
      </c>
      <c r="R424">
        <f t="shared" si="6"/>
        <v>20</v>
      </c>
      <c r="S424" s="22" cm="1">
        <f t="array" ref="S424">_xlfn.IFS(Table1[[#This Row],[Coupon frequency]]="Semi-annual",2,Table1[[#This Row],[Coupon frequency]]="Quarterly",4,Table1[[#This Row],[Coupon frequency]]="Annual",1,Table1[[#This Row],[Coupon frequency]]="Every 4 months",3,Table1[[#This Row],[Coupon frequency]]="Monthly",12)</f>
        <v>1</v>
      </c>
      <c r="T424">
        <f>Table1[[#This Row],[Term to Maturity (Years)]]*Table1[[#This Row],[Coupon Frequency2]]</f>
        <v>20</v>
      </c>
      <c r="U424">
        <f>Table1[[#This Row],[Face value]]*Table1[[#This Row],[Current coupon %]]/Table1[[#This Row],[Coupon Frequency2]]</f>
        <v>96999.999999999985</v>
      </c>
      <c r="V424" s="23">
        <f>RATE(Table1[[#This Row],[Total No. of Coupons]],Table1[[#This Row],[Coupon Amount]],-Table1[[#This Row],[Ask Price]],Table1[[#This Row],[Face value]])</f>
        <v>8.8851167518305324E-2</v>
      </c>
      <c r="W424" s="24">
        <f>Table1[[#This Row],[IRR]]*Table1[[#This Row],[Coupon Frequency2]]</f>
        <v>8.8851167518305324E-2</v>
      </c>
      <c r="X424" s="25" cm="1">
        <f t="array" ref="X4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4" s="26">
        <f>DURATION(Table1[[#This Row],[Issue date]],Table1[[#This Row],[Maturity date]],Table1[[#This Row],[Current coupon %]],Table1[[#This Row],[Yield (Annualised)]],Table1[[#This Row],[Coupon Frequency2]])</f>
        <v>9.8664008324138752</v>
      </c>
      <c r="Z424" s="26">
        <f>Table1[[#This Row],[Macaulay Duration in Years]]/(1+Table1[[#This Row],[IRR]])</f>
        <v>9.0612942583339855</v>
      </c>
      <c r="AA424" s="27">
        <f>VLOOKUP(Table1[[#This Row],[Yield Cluster]],'[1]Cluster Details'!$B$3:$C$16,2,0)</f>
        <v>7.8548801574189142E-2</v>
      </c>
      <c r="AB424" s="28">
        <f>PRICE(Table1[[#This Row],[Issue date]],Table1[[#This Row],[Maturity date]],Table1[[#This Row],[Current coupon %]],Table1[[#This Row],[Average Cluster Yield]],100,Table1[[#This Row],[Coupon Frequency2]])*Table1[[#This Row],[Face value]]/100</f>
        <v>1183129.7892345965</v>
      </c>
      <c r="AC424" s="27" t="str">
        <f>IF(Table1[[#This Row],[Ask Price]]&gt;Table1[[#This Row],[Calculated Bond Price]],"Rich","Cheap")</f>
        <v>Cheap</v>
      </c>
      <c r="AD424" s="28">
        <f>PRICE(Table1[[#This Row],[Issue date]],Table1[[#This Row],[Maturity date]],Table1[[#This Row],[Current coupon %]],Table1[[#This Row],[Yield (Annualised)]]+$AE$2,100,Table1[[#This Row],[Coupon Frequency2]])*Table1[[#This Row],[Face value]]/100</f>
        <v>984115.59323102806</v>
      </c>
      <c r="AE424" s="28">
        <f>PRICE(Table1[[#This Row],[Issue date]],Table1[[#This Row],[Maturity date]],Table1[[#This Row],[Current coupon %]],Table1[[#This Row],[Yield (Annualised)]]-$AE$2,100,Table1[[#This Row],[Coupon Frequency2]])*Table1[[#This Row],[Face value]]/100</f>
        <v>1179721.6404060742</v>
      </c>
      <c r="AF424" s="28">
        <f>(Table1[[#This Row],[P (+ shock)]]+Table1[[#This Row],[P (-shock)]]-2*Table1[[#This Row],[Ask Price]])/(2*Table1[[#This Row],[Ask Price]]*($AE$2^2))</f>
        <v>64.359226219080995</v>
      </c>
    </row>
    <row r="425" spans="1:32" x14ac:dyDescent="0.25">
      <c r="A425" s="21" t="s">
        <v>896</v>
      </c>
      <c r="B425" s="3" t="s">
        <v>897</v>
      </c>
      <c r="C425" s="3" t="s">
        <v>19</v>
      </c>
      <c r="D425" s="4">
        <v>45287</v>
      </c>
      <c r="E425" s="4">
        <v>46018</v>
      </c>
      <c r="F425" s="3">
        <v>1000</v>
      </c>
      <c r="G425" s="3" t="s">
        <v>20</v>
      </c>
      <c r="H425" s="3">
        <v>999</v>
      </c>
      <c r="I425" s="3" t="s">
        <v>20</v>
      </c>
      <c r="J425" s="3">
        <v>99.9</v>
      </c>
      <c r="K425" s="3">
        <v>20</v>
      </c>
      <c r="L425" s="5">
        <v>0.09</v>
      </c>
      <c r="M425" s="3" t="s">
        <v>44</v>
      </c>
      <c r="N425" s="3">
        <v>101</v>
      </c>
      <c r="O425" s="6">
        <f>Table1[[#This Row],[Current coupon %]]*Table1[[#This Row],[Face value]]/Table1[[#This Row],[Ask Price]]</f>
        <v>9.0090090090090086E-2</v>
      </c>
      <c r="P425" s="3"/>
      <c r="Q425" s="3" t="s">
        <v>22</v>
      </c>
      <c r="R425">
        <f t="shared" si="6"/>
        <v>2</v>
      </c>
      <c r="S425" s="22" cm="1">
        <f t="array" ref="S425">_xlfn.IFS(Table1[[#This Row],[Coupon frequency]]="Semi-annual",2,Table1[[#This Row],[Coupon frequency]]="Quarterly",4,Table1[[#This Row],[Coupon frequency]]="Annual",1,Table1[[#This Row],[Coupon frequency]]="Every 4 months",3,Table1[[#This Row],[Coupon frequency]]="Monthly",12)</f>
        <v>4</v>
      </c>
      <c r="T425">
        <f>Table1[[#This Row],[Term to Maturity (Years)]]*Table1[[#This Row],[Coupon Frequency2]]</f>
        <v>8</v>
      </c>
      <c r="U425">
        <f>Table1[[#This Row],[Face value]]*Table1[[#This Row],[Current coupon %]]/Table1[[#This Row],[Coupon Frequency2]]</f>
        <v>22.5</v>
      </c>
      <c r="V425" s="23">
        <f>RATE(Table1[[#This Row],[Total No. of Coupons]],Table1[[#This Row],[Coupon Amount]],-Table1[[#This Row],[Ask Price]],Table1[[#This Row],[Face value]])</f>
        <v>2.2638066297985864E-2</v>
      </c>
      <c r="W425" s="24">
        <f>Table1[[#This Row],[IRR]]*Table1[[#This Row],[Coupon Frequency2]]</f>
        <v>9.0552265191943454E-2</v>
      </c>
      <c r="X425" s="25" cm="1">
        <f t="array" ref="X4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5" s="26">
        <f>DURATION(Table1[[#This Row],[Issue date]],Table1[[#This Row],[Maturity date]],Table1[[#This Row],[Current coupon %]],Table1[[#This Row],[Yield (Annualised)]],Table1[[#This Row],[Coupon Frequency2]])</f>
        <v>1.8524724291419723</v>
      </c>
      <c r="Z425" s="26">
        <f>Table1[[#This Row],[Macaulay Duration in Years]]/(1+Table1[[#This Row],[IRR]])</f>
        <v>1.8114643784462658</v>
      </c>
      <c r="AA425" s="27">
        <f>VLOOKUP(Table1[[#This Row],[Yield Cluster]],'[1]Cluster Details'!$B$3:$C$16,2,0)</f>
        <v>7.8548801574189142E-2</v>
      </c>
      <c r="AB425" s="28">
        <f>PRICE(Table1[[#This Row],[Issue date]],Table1[[#This Row],[Maturity date]],Table1[[#This Row],[Current coupon %]],Table1[[#This Row],[Average Cluster Yield]],100,Table1[[#This Row],[Coupon Frequency2]])*Table1[[#This Row],[Face value]]/100</f>
        <v>1021.0042152024357</v>
      </c>
      <c r="AC425" s="27" t="str">
        <f>IF(Table1[[#This Row],[Ask Price]]&gt;Table1[[#This Row],[Calculated Bond Price]],"Rich","Cheap")</f>
        <v>Cheap</v>
      </c>
      <c r="AD425" s="28">
        <f>PRICE(Table1[[#This Row],[Issue date]],Table1[[#This Row],[Maturity date]],Table1[[#This Row],[Current coupon %]],Table1[[#This Row],[Yield (Annualised)]]+$AE$2,100,Table1[[#This Row],[Coupon Frequency2]])*Table1[[#This Row],[Face value]]/100</f>
        <v>981.09583319118235</v>
      </c>
      <c r="AE425" s="28">
        <f>PRICE(Table1[[#This Row],[Issue date]],Table1[[#This Row],[Maturity date]],Table1[[#This Row],[Current coupon %]],Table1[[#This Row],[Yield (Annualised)]]-$AE$2,100,Table1[[#This Row],[Coupon Frequency2]])*Table1[[#This Row],[Face value]]/100</f>
        <v>1017.292010360546</v>
      </c>
      <c r="AF425" s="28">
        <f>(Table1[[#This Row],[P (+ shock)]]+Table1[[#This Row],[P (-shock)]]-2*Table1[[#This Row],[Ask Price]])/(2*Table1[[#This Row],[Ask Price]]*($AE$2^2))</f>
        <v>1.9411589175592485</v>
      </c>
    </row>
    <row r="426" spans="1:32" x14ac:dyDescent="0.25">
      <c r="A426" s="21" t="s">
        <v>898</v>
      </c>
      <c r="B426" s="3" t="s">
        <v>899</v>
      </c>
      <c r="C426" s="3" t="s">
        <v>19</v>
      </c>
      <c r="D426" s="4">
        <v>45421</v>
      </c>
      <c r="E426" s="4">
        <v>47247</v>
      </c>
      <c r="F426" s="3">
        <v>1000</v>
      </c>
      <c r="G426" s="3" t="s">
        <v>20</v>
      </c>
      <c r="H426" s="3">
        <v>1039</v>
      </c>
      <c r="I426" s="3" t="s">
        <v>20</v>
      </c>
      <c r="J426" s="3">
        <v>103.899999999999</v>
      </c>
      <c r="K426" s="3">
        <v>170</v>
      </c>
      <c r="L426" s="5">
        <v>9.35E-2</v>
      </c>
      <c r="M426" s="3" t="s">
        <v>21</v>
      </c>
      <c r="N426" s="3">
        <v>1330</v>
      </c>
      <c r="O426" s="6">
        <f>Table1[[#This Row],[Current coupon %]]*Table1[[#This Row],[Face value]]/Table1[[#This Row],[Ask Price]]</f>
        <v>8.9990375360923969E-2</v>
      </c>
      <c r="P426" s="3"/>
      <c r="Q426" s="3" t="s">
        <v>22</v>
      </c>
      <c r="R426">
        <f t="shared" si="6"/>
        <v>5</v>
      </c>
      <c r="S426" s="22" cm="1">
        <f t="array" ref="S426">_xlfn.IFS(Table1[[#This Row],[Coupon frequency]]="Semi-annual",2,Table1[[#This Row],[Coupon frequency]]="Quarterly",4,Table1[[#This Row],[Coupon frequency]]="Annual",1,Table1[[#This Row],[Coupon frequency]]="Every 4 months",3,Table1[[#This Row],[Coupon frequency]]="Monthly",12)</f>
        <v>1</v>
      </c>
      <c r="T426">
        <f>Table1[[#This Row],[Term to Maturity (Years)]]*Table1[[#This Row],[Coupon Frequency2]]</f>
        <v>5</v>
      </c>
      <c r="U426">
        <f>Table1[[#This Row],[Face value]]*Table1[[#This Row],[Current coupon %]]/Table1[[#This Row],[Coupon Frequency2]]</f>
        <v>93.5</v>
      </c>
      <c r="V426" s="23">
        <f>RATE(Table1[[#This Row],[Total No. of Coupons]],Table1[[#This Row],[Coupon Amount]],-Table1[[#This Row],[Ask Price]],Table1[[#This Row],[Face value]])</f>
        <v>8.3638350792090893E-2</v>
      </c>
      <c r="W426" s="24">
        <f>Table1[[#This Row],[IRR]]*Table1[[#This Row],[Coupon Frequency2]]</f>
        <v>8.3638350792090893E-2</v>
      </c>
      <c r="X426" s="25" cm="1">
        <f t="array" ref="X4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6" s="26">
        <f>DURATION(Table1[[#This Row],[Issue date]],Table1[[#This Row],[Maturity date]],Table1[[#This Row],[Current coupon %]],Table1[[#This Row],[Yield (Annualised)]],Table1[[#This Row],[Coupon Frequency2]])</f>
        <v>4.2312143182832926</v>
      </c>
      <c r="Z426" s="26">
        <f>Table1[[#This Row],[Macaulay Duration in Years]]/(1+Table1[[#This Row],[IRR]])</f>
        <v>3.9046369254008644</v>
      </c>
      <c r="AA426" s="27">
        <f>VLOOKUP(Table1[[#This Row],[Yield Cluster]],'[1]Cluster Details'!$B$3:$C$16,2,0)</f>
        <v>7.8548801574189142E-2</v>
      </c>
      <c r="AB426" s="28">
        <f>PRICE(Table1[[#This Row],[Issue date]],Table1[[#This Row],[Maturity date]],Table1[[#This Row],[Current coupon %]],Table1[[#This Row],[Average Cluster Yield]],100,Table1[[#This Row],[Coupon Frequency2]])*Table1[[#This Row],[Face value]]/100</f>
        <v>1059.9248239860419</v>
      </c>
      <c r="AC426" s="27" t="str">
        <f>IF(Table1[[#This Row],[Ask Price]]&gt;Table1[[#This Row],[Calculated Bond Price]],"Rich","Cheap")</f>
        <v>Cheap</v>
      </c>
      <c r="AD426" s="28">
        <f>PRICE(Table1[[#This Row],[Issue date]],Table1[[#This Row],[Maturity date]],Table1[[#This Row],[Current coupon %]],Table1[[#This Row],[Yield (Annualised)]]+$AE$2,100,Table1[[#This Row],[Coupon Frequency2]])*Table1[[#This Row],[Face value]]/100</f>
        <v>999.46690571133445</v>
      </c>
      <c r="AE426" s="28">
        <f>PRICE(Table1[[#This Row],[Issue date]],Table1[[#This Row],[Maturity date]],Table1[[#This Row],[Current coupon %]],Table1[[#This Row],[Yield (Annualised)]]-$AE$2,100,Table1[[#This Row],[Coupon Frequency2]])*Table1[[#This Row],[Face value]]/100</f>
        <v>1080.6494537570213</v>
      </c>
      <c r="AF426" s="28">
        <f>(Table1[[#This Row],[P (+ shock)]]+Table1[[#This Row],[P (-shock)]]-2*Table1[[#This Row],[Ask Price]])/(2*Table1[[#This Row],[Ask Price]]*($AE$2^2))</f>
        <v>10.184598019036416</v>
      </c>
    </row>
    <row r="427" spans="1:32" x14ac:dyDescent="0.25">
      <c r="A427" s="21" t="s">
        <v>900</v>
      </c>
      <c r="B427" s="3" t="s">
        <v>901</v>
      </c>
      <c r="C427" s="3" t="s">
        <v>19</v>
      </c>
      <c r="D427" s="4">
        <v>45744</v>
      </c>
      <c r="E427" s="4">
        <v>49396</v>
      </c>
      <c r="F427" s="3">
        <v>100000</v>
      </c>
      <c r="G427" s="3" t="s">
        <v>20</v>
      </c>
      <c r="H427" s="3">
        <v>102395.34</v>
      </c>
      <c r="I427" s="3" t="s">
        <v>20</v>
      </c>
      <c r="J427" s="3">
        <v>102.395339999999</v>
      </c>
      <c r="K427" s="3">
        <v>1</v>
      </c>
      <c r="L427" s="5">
        <v>9.1999999999999998E-2</v>
      </c>
      <c r="M427" s="3" t="s">
        <v>21</v>
      </c>
      <c r="N427" s="3">
        <v>3479</v>
      </c>
      <c r="O427" s="6">
        <f>Table1[[#This Row],[Current coupon %]]*Table1[[#This Row],[Face value]]/Table1[[#This Row],[Ask Price]]</f>
        <v>8.9847838778600669E-2</v>
      </c>
      <c r="P427" s="3"/>
      <c r="Q427" s="3" t="s">
        <v>22</v>
      </c>
      <c r="R427">
        <f t="shared" si="6"/>
        <v>10</v>
      </c>
      <c r="S427" s="22" cm="1">
        <f t="array" ref="S427">_xlfn.IFS(Table1[[#This Row],[Coupon frequency]]="Semi-annual",2,Table1[[#This Row],[Coupon frequency]]="Quarterly",4,Table1[[#This Row],[Coupon frequency]]="Annual",1,Table1[[#This Row],[Coupon frequency]]="Every 4 months",3,Table1[[#This Row],[Coupon frequency]]="Monthly",12)</f>
        <v>1</v>
      </c>
      <c r="T427">
        <f>Table1[[#This Row],[Term to Maturity (Years)]]*Table1[[#This Row],[Coupon Frequency2]]</f>
        <v>10</v>
      </c>
      <c r="U427">
        <f>Table1[[#This Row],[Face value]]*Table1[[#This Row],[Current coupon %]]/Table1[[#This Row],[Coupon Frequency2]]</f>
        <v>9200</v>
      </c>
      <c r="V427" s="23">
        <f>RATE(Table1[[#This Row],[Total No. of Coupons]],Table1[[#This Row],[Coupon Amount]],-Table1[[#This Row],[Ask Price]],Table1[[#This Row],[Face value]])</f>
        <v>8.8295534274043116E-2</v>
      </c>
      <c r="W427" s="24">
        <f>Table1[[#This Row],[IRR]]*Table1[[#This Row],[Coupon Frequency2]]</f>
        <v>8.8295534274043116E-2</v>
      </c>
      <c r="X427" s="25" cm="1">
        <f t="array" ref="X4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7" s="26">
        <f>DURATION(Table1[[#This Row],[Issue date]],Table1[[#This Row],[Maturity date]],Table1[[#This Row],[Current coupon %]],Table1[[#This Row],[Yield (Annualised)]],Table1[[#This Row],[Coupon Frequency2]])</f>
        <v>6.9849226854248476</v>
      </c>
      <c r="Z427" s="26">
        <f>Table1[[#This Row],[Macaulay Duration in Years]]/(1+Table1[[#This Row],[IRR]])</f>
        <v>6.4182223168674497</v>
      </c>
      <c r="AA427" s="27">
        <f>VLOOKUP(Table1[[#This Row],[Yield Cluster]],'[1]Cluster Details'!$B$3:$C$16,2,0)</f>
        <v>7.8548801574189142E-2</v>
      </c>
      <c r="AB427" s="28">
        <f>PRICE(Table1[[#This Row],[Issue date]],Table1[[#This Row],[Maturity date]],Table1[[#This Row],[Current coupon %]],Table1[[#This Row],[Average Cluster Yield]],100,Table1[[#This Row],[Coupon Frequency2]])*Table1[[#This Row],[Face value]]/100</f>
        <v>109085.24285320831</v>
      </c>
      <c r="AC427" s="27" t="str">
        <f>IF(Table1[[#This Row],[Ask Price]]&gt;Table1[[#This Row],[Calculated Bond Price]],"Rich","Cheap")</f>
        <v>Cheap</v>
      </c>
      <c r="AD427" s="28">
        <f>PRICE(Table1[[#This Row],[Issue date]],Table1[[#This Row],[Maturity date]],Table1[[#This Row],[Current coupon %]],Table1[[#This Row],[Yield (Annualised)]]+$AE$2,100,Table1[[#This Row],[Coupon Frequency2]])*Table1[[#This Row],[Face value]]/100</f>
        <v>96103.179088197096</v>
      </c>
      <c r="AE427" s="28">
        <f>PRICE(Table1[[#This Row],[Issue date]],Table1[[#This Row],[Maturity date]],Table1[[#This Row],[Current coupon %]],Table1[[#This Row],[Yield (Annualised)]]-$AE$2,100,Table1[[#This Row],[Coupon Frequency2]])*Table1[[#This Row],[Face value]]/100</f>
        <v>109266.92632518148</v>
      </c>
      <c r="AF427" s="28">
        <f>(Table1[[#This Row],[P (+ shock)]]+Table1[[#This Row],[P (-shock)]]-2*Table1[[#This Row],[Ask Price]])/(2*Table1[[#This Row],[Ask Price]]*($AE$2^2))</f>
        <v>28.293544089925017</v>
      </c>
    </row>
    <row r="428" spans="1:32" x14ac:dyDescent="0.25">
      <c r="A428" s="21" t="s">
        <v>902</v>
      </c>
      <c r="B428" s="3" t="s">
        <v>903</v>
      </c>
      <c r="C428" s="3" t="s">
        <v>19</v>
      </c>
      <c r="D428" s="4">
        <v>44132</v>
      </c>
      <c r="E428" s="4">
        <v>45958</v>
      </c>
      <c r="F428" s="3">
        <v>1000</v>
      </c>
      <c r="G428" s="3" t="s">
        <v>20</v>
      </c>
      <c r="H428" s="3">
        <v>1068.51</v>
      </c>
      <c r="I428" s="3" t="s">
        <v>20</v>
      </c>
      <c r="J428" s="3">
        <v>106.851</v>
      </c>
      <c r="K428" s="3">
        <v>10</v>
      </c>
      <c r="L428" s="5">
        <v>9.6000000000000002E-2</v>
      </c>
      <c r="M428" s="3" t="s">
        <v>21</v>
      </c>
      <c r="N428" s="3">
        <v>41</v>
      </c>
      <c r="O428" s="6">
        <f>Table1[[#This Row],[Current coupon %]]*Table1[[#This Row],[Face value]]/Table1[[#This Row],[Ask Price]]</f>
        <v>8.9844737063761684E-2</v>
      </c>
      <c r="P428" s="3"/>
      <c r="Q428" s="3" t="s">
        <v>22</v>
      </c>
      <c r="R428">
        <f t="shared" si="6"/>
        <v>5</v>
      </c>
      <c r="S428" s="22" cm="1">
        <f t="array" ref="S428">_xlfn.IFS(Table1[[#This Row],[Coupon frequency]]="Semi-annual",2,Table1[[#This Row],[Coupon frequency]]="Quarterly",4,Table1[[#This Row],[Coupon frequency]]="Annual",1,Table1[[#This Row],[Coupon frequency]]="Every 4 months",3,Table1[[#This Row],[Coupon frequency]]="Monthly",12)</f>
        <v>1</v>
      </c>
      <c r="T428">
        <f>Table1[[#This Row],[Term to Maturity (Years)]]*Table1[[#This Row],[Coupon Frequency2]]</f>
        <v>5</v>
      </c>
      <c r="U428">
        <f>Table1[[#This Row],[Face value]]*Table1[[#This Row],[Current coupon %]]/Table1[[#This Row],[Coupon Frequency2]]</f>
        <v>96</v>
      </c>
      <c r="V428" s="23">
        <f>RATE(Table1[[#This Row],[Total No. of Coupons]],Table1[[#This Row],[Coupon Amount]],-Table1[[#This Row],[Ask Price]],Table1[[#This Row],[Face value]])</f>
        <v>7.8891336925787633E-2</v>
      </c>
      <c r="W428" s="24">
        <f>Table1[[#This Row],[IRR]]*Table1[[#This Row],[Coupon Frequency2]]</f>
        <v>7.8891336925787633E-2</v>
      </c>
      <c r="X428" s="25" cm="1">
        <f t="array" ref="X4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8" s="26">
        <f>DURATION(Table1[[#This Row],[Issue date]],Table1[[#This Row],[Maturity date]],Table1[[#This Row],[Current coupon %]],Table1[[#This Row],[Yield (Annualised)]],Table1[[#This Row],[Coupon Frequency2]])</f>
        <v>4.2259485550887694</v>
      </c>
      <c r="Z428" s="26">
        <f>Table1[[#This Row],[Macaulay Duration in Years]]/(1+Table1[[#This Row],[IRR]])</f>
        <v>3.9169362200370093</v>
      </c>
      <c r="AA428" s="27">
        <f>VLOOKUP(Table1[[#This Row],[Yield Cluster]],'[1]Cluster Details'!$B$3:$C$16,2,0)</f>
        <v>7.8548801574189142E-2</v>
      </c>
      <c r="AB428" s="28">
        <f>PRICE(Table1[[#This Row],[Issue date]],Table1[[#This Row],[Maturity date]],Table1[[#This Row],[Current coupon %]],Table1[[#This Row],[Average Cluster Yield]],100,Table1[[#This Row],[Coupon Frequency2]])*Table1[[#This Row],[Face value]]/100</f>
        <v>1069.944894330803</v>
      </c>
      <c r="AC428" s="27" t="str">
        <f>IF(Table1[[#This Row],[Ask Price]]&gt;Table1[[#This Row],[Calculated Bond Price]],"Rich","Cheap")</f>
        <v>Cheap</v>
      </c>
      <c r="AD428" s="28">
        <f>PRICE(Table1[[#This Row],[Issue date]],Table1[[#This Row],[Maturity date]],Table1[[#This Row],[Current coupon %]],Table1[[#This Row],[Yield (Annualised)]]+$AE$2,100,Table1[[#This Row],[Coupon Frequency2]])*Table1[[#This Row],[Face value]]/100</f>
        <v>1027.7299430749406</v>
      </c>
      <c r="AE428" s="28">
        <f>PRICE(Table1[[#This Row],[Issue date]],Table1[[#This Row],[Maturity date]],Table1[[#This Row],[Current coupon %]],Table1[[#This Row],[Yield (Annualised)]]-$AE$2,100,Table1[[#This Row],[Coupon Frequency2]])*Table1[[#This Row],[Face value]]/100</f>
        <v>1111.4815999159932</v>
      </c>
      <c r="AF428" s="28">
        <f>(Table1[[#This Row],[P (+ shock)]]+Table1[[#This Row],[P (-shock)]]-2*Table1[[#This Row],[Ask Price]])/(2*Table1[[#This Row],[Ask Price]]*($AE$2^2))</f>
        <v>10.255135613768765</v>
      </c>
    </row>
    <row r="429" spans="1:32" x14ac:dyDescent="0.25">
      <c r="A429" s="21" t="s">
        <v>904</v>
      </c>
      <c r="B429" s="3" t="s">
        <v>905</v>
      </c>
      <c r="C429" s="3" t="s">
        <v>19</v>
      </c>
      <c r="D429" s="4">
        <v>45322</v>
      </c>
      <c r="E429" s="4">
        <v>46053</v>
      </c>
      <c r="F429" s="3">
        <v>1000</v>
      </c>
      <c r="G429" s="3" t="s">
        <v>20</v>
      </c>
      <c r="H429" s="3">
        <v>1029.8</v>
      </c>
      <c r="I429" s="3" t="s">
        <v>20</v>
      </c>
      <c r="J429" s="3">
        <v>102.98</v>
      </c>
      <c r="K429" s="3">
        <v>10</v>
      </c>
      <c r="L429" s="5">
        <v>9.2499999999999999E-2</v>
      </c>
      <c r="M429" s="3" t="s">
        <v>21</v>
      </c>
      <c r="N429" s="3">
        <v>136</v>
      </c>
      <c r="O429" s="6">
        <f>Table1[[#This Row],[Current coupon %]]*Table1[[#This Row],[Face value]]/Table1[[#This Row],[Ask Price]]</f>
        <v>8.9823266653719175E-2</v>
      </c>
      <c r="P429" s="3"/>
      <c r="Q429" s="3" t="s">
        <v>22</v>
      </c>
      <c r="R429">
        <f t="shared" si="6"/>
        <v>2</v>
      </c>
      <c r="S429" s="22" cm="1">
        <f t="array" ref="S429">_xlfn.IFS(Table1[[#This Row],[Coupon frequency]]="Semi-annual",2,Table1[[#This Row],[Coupon frequency]]="Quarterly",4,Table1[[#This Row],[Coupon frequency]]="Annual",1,Table1[[#This Row],[Coupon frequency]]="Every 4 months",3,Table1[[#This Row],[Coupon frequency]]="Monthly",12)</f>
        <v>1</v>
      </c>
      <c r="T429">
        <f>Table1[[#This Row],[Term to Maturity (Years)]]*Table1[[#This Row],[Coupon Frequency2]]</f>
        <v>2</v>
      </c>
      <c r="U429">
        <f>Table1[[#This Row],[Face value]]*Table1[[#This Row],[Current coupon %]]/Table1[[#This Row],[Coupon Frequency2]]</f>
        <v>92.5</v>
      </c>
      <c r="V429" s="23">
        <f>RATE(Table1[[#This Row],[Total No. of Coupons]],Table1[[#This Row],[Coupon Amount]],-Table1[[#This Row],[Ask Price]],Table1[[#This Row],[Face value]])</f>
        <v>7.588334179619316E-2</v>
      </c>
      <c r="W429" s="24">
        <f>Table1[[#This Row],[IRR]]*Table1[[#This Row],[Coupon Frequency2]]</f>
        <v>7.588334179619316E-2</v>
      </c>
      <c r="X429" s="25" cm="1">
        <f t="array" ref="X4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29" s="26">
        <f>DURATION(Table1[[#This Row],[Issue date]],Table1[[#This Row],[Maturity date]],Table1[[#This Row],[Current coupon %]],Table1[[#This Row],[Yield (Annualised)]],Table1[[#This Row],[Coupon Frequency2]])</f>
        <v>1.9165120760176853</v>
      </c>
      <c r="Z429" s="26">
        <f>Table1[[#This Row],[Macaulay Duration in Years]]/(1+Table1[[#This Row],[IRR]])</f>
        <v>1.7813381819055378</v>
      </c>
      <c r="AA429" s="27">
        <f>VLOOKUP(Table1[[#This Row],[Yield Cluster]],'[1]Cluster Details'!$B$3:$C$16,2,0)</f>
        <v>7.8548801574189142E-2</v>
      </c>
      <c r="AB429" s="28">
        <f>PRICE(Table1[[#This Row],[Issue date]],Table1[[#This Row],[Maturity date]],Table1[[#This Row],[Current coupon %]],Table1[[#This Row],[Average Cluster Yield]],100,Table1[[#This Row],[Coupon Frequency2]])*Table1[[#This Row],[Face value]]/100</f>
        <v>1024.9282700112499</v>
      </c>
      <c r="AC429" s="27" t="str">
        <f>IF(Table1[[#This Row],[Ask Price]]&gt;Table1[[#This Row],[Calculated Bond Price]],"Rich","Cheap")</f>
        <v>Rich</v>
      </c>
      <c r="AD429" s="28">
        <f>PRICE(Table1[[#This Row],[Issue date]],Table1[[#This Row],[Maturity date]],Table1[[#This Row],[Current coupon %]],Table1[[#This Row],[Yield (Annualised)]]+$AE$2,100,Table1[[#This Row],[Coupon Frequency2]])*Table1[[#This Row],[Face value]]/100</f>
        <v>1011.704756279045</v>
      </c>
      <c r="AE429" s="28">
        <f>PRICE(Table1[[#This Row],[Issue date]],Table1[[#This Row],[Maturity date]],Table1[[#This Row],[Current coupon %]],Table1[[#This Row],[Yield (Annualised)]]-$AE$2,100,Table1[[#This Row],[Coupon Frequency2]])*Table1[[#This Row],[Face value]]/100</f>
        <v>1048.3993993163367</v>
      </c>
      <c r="AF429" s="28">
        <f>(Table1[[#This Row],[P (+ shock)]]+Table1[[#This Row],[P (-shock)]]-2*Table1[[#This Row],[Ask Price]])/(2*Table1[[#This Row],[Ask Price]]*($AE$2^2))</f>
        <v>2.4478325664288678</v>
      </c>
    </row>
    <row r="430" spans="1:32" x14ac:dyDescent="0.25">
      <c r="A430" s="21" t="s">
        <v>906</v>
      </c>
      <c r="B430" s="3" t="s">
        <v>907</v>
      </c>
      <c r="C430" s="3" t="s">
        <v>19</v>
      </c>
      <c r="D430" s="4">
        <v>45421</v>
      </c>
      <c r="E430" s="4">
        <v>49073</v>
      </c>
      <c r="F430" s="3">
        <v>1000</v>
      </c>
      <c r="G430" s="3" t="s">
        <v>20</v>
      </c>
      <c r="H430" s="3">
        <v>1080</v>
      </c>
      <c r="I430" s="3" t="s">
        <v>20</v>
      </c>
      <c r="J430" s="3">
        <v>108</v>
      </c>
      <c r="K430" s="3">
        <v>530</v>
      </c>
      <c r="L430" s="5">
        <v>9.6999999999999989E-2</v>
      </c>
      <c r="M430" s="3" t="s">
        <v>21</v>
      </c>
      <c r="N430" s="3">
        <v>3156</v>
      </c>
      <c r="O430" s="6">
        <f>Table1[[#This Row],[Current coupon %]]*Table1[[#This Row],[Face value]]/Table1[[#This Row],[Ask Price]]</f>
        <v>8.9814814814814806E-2</v>
      </c>
      <c r="P430" s="3"/>
      <c r="Q430" s="3" t="s">
        <v>22</v>
      </c>
      <c r="R430">
        <f t="shared" si="6"/>
        <v>10</v>
      </c>
      <c r="S430" s="22" cm="1">
        <f t="array" ref="S430">_xlfn.IFS(Table1[[#This Row],[Coupon frequency]]="Semi-annual",2,Table1[[#This Row],[Coupon frequency]]="Quarterly",4,Table1[[#This Row],[Coupon frequency]]="Annual",1,Table1[[#This Row],[Coupon frequency]]="Every 4 months",3,Table1[[#This Row],[Coupon frequency]]="Monthly",12)</f>
        <v>1</v>
      </c>
      <c r="T430">
        <f>Table1[[#This Row],[Term to Maturity (Years)]]*Table1[[#This Row],[Coupon Frequency2]]</f>
        <v>10</v>
      </c>
      <c r="U430">
        <f>Table1[[#This Row],[Face value]]*Table1[[#This Row],[Current coupon %]]/Table1[[#This Row],[Coupon Frequency2]]</f>
        <v>96.999999999999986</v>
      </c>
      <c r="V430" s="23">
        <f>RATE(Table1[[#This Row],[Total No. of Coupons]],Table1[[#This Row],[Coupon Amount]],-Table1[[#This Row],[Ask Price]],Table1[[#This Row],[Face value]])</f>
        <v>8.4817306779056245E-2</v>
      </c>
      <c r="W430" s="24">
        <f>Table1[[#This Row],[IRR]]*Table1[[#This Row],[Coupon Frequency2]]</f>
        <v>8.4817306779056245E-2</v>
      </c>
      <c r="X430" s="25" cm="1">
        <f t="array" ref="X4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0" s="26">
        <f>DURATION(Table1[[#This Row],[Issue date]],Table1[[#This Row],[Maturity date]],Table1[[#This Row],[Current coupon %]],Table1[[#This Row],[Yield (Annualised)]],Table1[[#This Row],[Coupon Frequency2]])</f>
        <v>6.9541853462744623</v>
      </c>
      <c r="Z430" s="26">
        <f>Table1[[#This Row],[Macaulay Duration in Years]]/(1+Table1[[#This Row],[IRR]])</f>
        <v>6.4104668157647806</v>
      </c>
      <c r="AA430" s="27">
        <f>VLOOKUP(Table1[[#This Row],[Yield Cluster]],'[1]Cluster Details'!$B$3:$C$16,2,0)</f>
        <v>7.8548801574189142E-2</v>
      </c>
      <c r="AB430" s="28">
        <f>PRICE(Table1[[#This Row],[Issue date]],Table1[[#This Row],[Maturity date]],Table1[[#This Row],[Current coupon %]],Table1[[#This Row],[Average Cluster Yield]],100,Table1[[#This Row],[Coupon Frequency2]])*Table1[[#This Row],[Face value]]/100</f>
        <v>1124.6235564479978</v>
      </c>
      <c r="AC430" s="27" t="str">
        <f>IF(Table1[[#This Row],[Ask Price]]&gt;Table1[[#This Row],[Calculated Bond Price]],"Rich","Cheap")</f>
        <v>Cheap</v>
      </c>
      <c r="AD430" s="28">
        <f>PRICE(Table1[[#This Row],[Issue date]],Table1[[#This Row],[Maturity date]],Table1[[#This Row],[Current coupon %]],Table1[[#This Row],[Yield (Annualised)]]+$AE$2,100,Table1[[#This Row],[Coupon Frequency2]])*Table1[[#This Row],[Face value]]/100</f>
        <v>1013.7155838832276</v>
      </c>
      <c r="AE430" s="28">
        <f>PRICE(Table1[[#This Row],[Issue date]],Table1[[#This Row],[Maturity date]],Table1[[#This Row],[Current coupon %]],Table1[[#This Row],[Yield (Annualised)]]-$AE$2,100,Table1[[#This Row],[Coupon Frequency2]])*Table1[[#This Row],[Face value]]/100</f>
        <v>1152.3909009824354</v>
      </c>
      <c r="AF430" s="28">
        <f>(Table1[[#This Row],[P (+ shock)]]+Table1[[#This Row],[P (-shock)]]-2*Table1[[#This Row],[Ask Price]])/(2*Table1[[#This Row],[Ask Price]]*($AE$2^2))</f>
        <v>28.270763266957768</v>
      </c>
    </row>
    <row r="431" spans="1:32" x14ac:dyDescent="0.25">
      <c r="A431" s="21" t="s">
        <v>908</v>
      </c>
      <c r="B431" s="3" t="s">
        <v>909</v>
      </c>
      <c r="C431" s="3" t="s">
        <v>19</v>
      </c>
      <c r="D431" s="4">
        <v>45239</v>
      </c>
      <c r="E431" s="4">
        <v>45970</v>
      </c>
      <c r="F431" s="3">
        <v>1000</v>
      </c>
      <c r="G431" s="3" t="s">
        <v>20</v>
      </c>
      <c r="H431" s="3">
        <v>1075</v>
      </c>
      <c r="I431" s="3" t="s">
        <v>20</v>
      </c>
      <c r="J431" s="3">
        <v>107.5</v>
      </c>
      <c r="K431" s="3">
        <v>50</v>
      </c>
      <c r="L431" s="5">
        <v>9.6500000000000002E-2</v>
      </c>
      <c r="M431" s="3" t="s">
        <v>21</v>
      </c>
      <c r="N431" s="3">
        <v>53</v>
      </c>
      <c r="O431" s="6">
        <f>Table1[[#This Row],[Current coupon %]]*Table1[[#This Row],[Face value]]/Table1[[#This Row],[Ask Price]]</f>
        <v>8.9767441860465119E-2</v>
      </c>
      <c r="P431" s="3" t="s">
        <v>25</v>
      </c>
      <c r="Q431" s="3" t="s">
        <v>22</v>
      </c>
      <c r="R431">
        <f t="shared" si="6"/>
        <v>2</v>
      </c>
      <c r="S431" s="22" cm="1">
        <f t="array" ref="S431">_xlfn.IFS(Table1[[#This Row],[Coupon frequency]]="Semi-annual",2,Table1[[#This Row],[Coupon frequency]]="Quarterly",4,Table1[[#This Row],[Coupon frequency]]="Annual",1,Table1[[#This Row],[Coupon frequency]]="Every 4 months",3,Table1[[#This Row],[Coupon frequency]]="Monthly",12)</f>
        <v>1</v>
      </c>
      <c r="T431">
        <f>Table1[[#This Row],[Term to Maturity (Years)]]*Table1[[#This Row],[Coupon Frequency2]]</f>
        <v>2</v>
      </c>
      <c r="U431">
        <f>Table1[[#This Row],[Face value]]*Table1[[#This Row],[Current coupon %]]/Table1[[#This Row],[Coupon Frequency2]]</f>
        <v>96.5</v>
      </c>
      <c r="V431" s="23">
        <f>RATE(Table1[[#This Row],[Total No. of Coupons]],Table1[[#This Row],[Coupon Amount]],-Table1[[#This Row],[Ask Price]],Table1[[#This Row],[Face value]])</f>
        <v>5.5831072875298898E-2</v>
      </c>
      <c r="W431" s="24">
        <f>Table1[[#This Row],[IRR]]*Table1[[#This Row],[Coupon Frequency2]]</f>
        <v>5.5831072875298898E-2</v>
      </c>
      <c r="X431" s="25" cm="1">
        <f t="array" ref="X4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1" s="26">
        <f>DURATION(Table1[[#This Row],[Issue date]],Table1[[#This Row],[Maturity date]],Table1[[#This Row],[Current coupon %]],Table1[[#This Row],[Yield (Annualised)]],Table1[[#This Row],[Coupon Frequency2]])</f>
        <v>1.914979352126831</v>
      </c>
      <c r="Z431" s="26">
        <f>Table1[[#This Row],[Macaulay Duration in Years]]/(1+Table1[[#This Row],[IRR]])</f>
        <v>1.8137175551310978</v>
      </c>
      <c r="AA431" s="27">
        <f>VLOOKUP(Table1[[#This Row],[Yield Cluster]],'[1]Cluster Details'!$B$3:$C$16,2,0)</f>
        <v>7.8548801574189142E-2</v>
      </c>
      <c r="AB431" s="28">
        <f>PRICE(Table1[[#This Row],[Issue date]],Table1[[#This Row],[Maturity date]],Table1[[#This Row],[Current coupon %]],Table1[[#This Row],[Average Cluster Yield]],100,Table1[[#This Row],[Coupon Frequency2]])*Table1[[#This Row],[Face value]]/100</f>
        <v>1032.0755470409078</v>
      </c>
      <c r="AC431" s="27" t="str">
        <f>IF(Table1[[#This Row],[Ask Price]]&gt;Table1[[#This Row],[Calculated Bond Price]],"Rich","Cheap")</f>
        <v>Rich</v>
      </c>
      <c r="AD431" s="28">
        <f>PRICE(Table1[[#This Row],[Issue date]],Table1[[#This Row],[Maturity date]],Table1[[#This Row],[Current coupon %]],Table1[[#This Row],[Yield (Annualised)]]+$AE$2,100,Table1[[#This Row],[Coupon Frequency2]])*Table1[[#This Row],[Face value]]/100</f>
        <v>1055.7720533759839</v>
      </c>
      <c r="AE431" s="28">
        <f>PRICE(Table1[[#This Row],[Issue date]],Table1[[#This Row],[Maturity date]],Table1[[#This Row],[Current coupon %]],Table1[[#This Row],[Yield (Annualised)]]-$AE$2,100,Table1[[#This Row],[Coupon Frequency2]])*Table1[[#This Row],[Face value]]/100</f>
        <v>1094.7738224128684</v>
      </c>
      <c r="AF431" s="28">
        <f>(Table1[[#This Row],[P (+ shock)]]+Table1[[#This Row],[P (-shock)]]-2*Table1[[#This Row],[Ask Price]])/(2*Table1[[#This Row],[Ask Price]]*($AE$2^2))</f>
        <v>2.5389571574525562</v>
      </c>
    </row>
    <row r="432" spans="1:32" x14ac:dyDescent="0.25">
      <c r="A432" s="21" t="s">
        <v>910</v>
      </c>
      <c r="B432" s="3" t="s">
        <v>911</v>
      </c>
      <c r="C432" s="3" t="s">
        <v>19</v>
      </c>
      <c r="D432" s="4">
        <v>45441</v>
      </c>
      <c r="E432" s="4">
        <v>47451</v>
      </c>
      <c r="F432" s="3">
        <v>100000</v>
      </c>
      <c r="G432" s="3" t="s">
        <v>20</v>
      </c>
      <c r="H432" s="3">
        <v>105850</v>
      </c>
      <c r="I432" s="3" t="s">
        <v>20</v>
      </c>
      <c r="J432" s="3">
        <v>105.85</v>
      </c>
      <c r="K432" s="3">
        <v>4</v>
      </c>
      <c r="L432" s="5">
        <v>9.5000000000000001E-2</v>
      </c>
      <c r="M432" s="3" t="s">
        <v>21</v>
      </c>
      <c r="N432" s="3">
        <v>1534</v>
      </c>
      <c r="O432" s="6">
        <f>Table1[[#This Row],[Current coupon %]]*Table1[[#This Row],[Face value]]/Table1[[#This Row],[Ask Price]]</f>
        <v>8.9749645725082663E-2</v>
      </c>
      <c r="P432" s="3"/>
      <c r="Q432" s="3" t="s">
        <v>22</v>
      </c>
      <c r="R432">
        <f t="shared" si="6"/>
        <v>6</v>
      </c>
      <c r="S432" s="22" cm="1">
        <f t="array" ref="S432">_xlfn.IFS(Table1[[#This Row],[Coupon frequency]]="Semi-annual",2,Table1[[#This Row],[Coupon frequency]]="Quarterly",4,Table1[[#This Row],[Coupon frequency]]="Annual",1,Table1[[#This Row],[Coupon frequency]]="Every 4 months",3,Table1[[#This Row],[Coupon frequency]]="Monthly",12)</f>
        <v>1</v>
      </c>
      <c r="T432">
        <f>Table1[[#This Row],[Term to Maturity (Years)]]*Table1[[#This Row],[Coupon Frequency2]]</f>
        <v>6</v>
      </c>
      <c r="U432">
        <f>Table1[[#This Row],[Face value]]*Table1[[#This Row],[Current coupon %]]/Table1[[#This Row],[Coupon Frequency2]]</f>
        <v>9500</v>
      </c>
      <c r="V432" s="23">
        <f>RATE(Table1[[#This Row],[Total No. of Coupons]],Table1[[#This Row],[Coupon Amount]],-Table1[[#This Row],[Ask Price]],Table1[[#This Row],[Face value]])</f>
        <v>8.22587132843971E-2</v>
      </c>
      <c r="W432" s="24">
        <f>Table1[[#This Row],[IRR]]*Table1[[#This Row],[Coupon Frequency2]]</f>
        <v>8.22587132843971E-2</v>
      </c>
      <c r="X432" s="25" cm="1">
        <f t="array" ref="X4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2" s="26">
        <f>DURATION(Table1[[#This Row],[Issue date]],Table1[[#This Row],[Maturity date]],Table1[[#This Row],[Current coupon %]],Table1[[#This Row],[Yield (Annualised)]],Table1[[#This Row],[Coupon Frequency2]])</f>
        <v>4.3751697684025945</v>
      </c>
      <c r="Z432" s="26">
        <f>Table1[[#This Row],[Macaulay Duration in Years]]/(1+Table1[[#This Row],[IRR]])</f>
        <v>4.0426283611291041</v>
      </c>
      <c r="AA432" s="27">
        <f>VLOOKUP(Table1[[#This Row],[Yield Cluster]],'[1]Cluster Details'!$B$3:$C$16,2,0)</f>
        <v>7.8548801574189142E-2</v>
      </c>
      <c r="AB432" s="28">
        <f>PRICE(Table1[[#This Row],[Issue date]],Table1[[#This Row],[Maturity date]],Table1[[#This Row],[Current coupon %]],Table1[[#This Row],[Average Cluster Yield]],100,Table1[[#This Row],[Coupon Frequency2]])*Table1[[#This Row],[Face value]]/100</f>
        <v>107036.33105307393</v>
      </c>
      <c r="AC432" s="27" t="str">
        <f>IF(Table1[[#This Row],[Ask Price]]&gt;Table1[[#This Row],[Calculated Bond Price]],"Rich","Cheap")</f>
        <v>Cheap</v>
      </c>
      <c r="AD432" s="28">
        <f>PRICE(Table1[[#This Row],[Issue date]],Table1[[#This Row],[Maturity date]],Table1[[#This Row],[Current coupon %]],Table1[[#This Row],[Yield (Annualised)]]+$AE$2,100,Table1[[#This Row],[Coupon Frequency2]])*Table1[[#This Row],[Face value]]/100</f>
        <v>101037.76661914185</v>
      </c>
      <c r="AE432" s="28">
        <f>PRICE(Table1[[#This Row],[Issue date]],Table1[[#This Row],[Maturity date]],Table1[[#This Row],[Current coupon %]],Table1[[#This Row],[Yield (Annualised)]]-$AE$2,100,Table1[[#This Row],[Coupon Frequency2]])*Table1[[#This Row],[Face value]]/100</f>
        <v>109946.61062098276</v>
      </c>
      <c r="AF432" s="28">
        <f>(Table1[[#This Row],[P (+ shock)]]+Table1[[#This Row],[P (-shock)]]-2*Table1[[#This Row],[Ask Price]])/(2*Table1[[#This Row],[Ask Price]]*($AE$2^2))</f>
        <v>-33.803625879800457</v>
      </c>
    </row>
    <row r="433" spans="1:32" x14ac:dyDescent="0.25">
      <c r="A433" s="21" t="s">
        <v>912</v>
      </c>
      <c r="B433" s="3" t="s">
        <v>913</v>
      </c>
      <c r="C433" s="3" t="s">
        <v>19</v>
      </c>
      <c r="D433" s="4">
        <v>43502</v>
      </c>
      <c r="E433" s="4">
        <v>47155</v>
      </c>
      <c r="F433" s="3">
        <v>1000</v>
      </c>
      <c r="G433" s="3" t="s">
        <v>20</v>
      </c>
      <c r="H433" s="3">
        <v>1082</v>
      </c>
      <c r="I433" s="3" t="s">
        <v>20</v>
      </c>
      <c r="J433" s="3">
        <v>108.2</v>
      </c>
      <c r="K433" s="3">
        <v>25</v>
      </c>
      <c r="L433" s="5">
        <v>9.6999999999999989E-2</v>
      </c>
      <c r="M433" s="3" t="s">
        <v>21</v>
      </c>
      <c r="N433" s="3">
        <v>1238</v>
      </c>
      <c r="O433" s="6">
        <f>Table1[[#This Row],[Current coupon %]]*Table1[[#This Row],[Face value]]/Table1[[#This Row],[Ask Price]]</f>
        <v>8.9648798521256914E-2</v>
      </c>
      <c r="P433" s="3" t="s">
        <v>97</v>
      </c>
      <c r="Q433" s="3" t="s">
        <v>22</v>
      </c>
      <c r="R433">
        <f t="shared" si="6"/>
        <v>10</v>
      </c>
      <c r="S433" s="22" cm="1">
        <f t="array" ref="S433">_xlfn.IFS(Table1[[#This Row],[Coupon frequency]]="Semi-annual",2,Table1[[#This Row],[Coupon frequency]]="Quarterly",4,Table1[[#This Row],[Coupon frequency]]="Annual",1,Table1[[#This Row],[Coupon frequency]]="Every 4 months",3,Table1[[#This Row],[Coupon frequency]]="Monthly",12)</f>
        <v>1</v>
      </c>
      <c r="T433">
        <f>Table1[[#This Row],[Term to Maturity (Years)]]*Table1[[#This Row],[Coupon Frequency2]]</f>
        <v>10</v>
      </c>
      <c r="U433">
        <f>Table1[[#This Row],[Face value]]*Table1[[#This Row],[Current coupon %]]/Table1[[#This Row],[Coupon Frequency2]]</f>
        <v>96.999999999999986</v>
      </c>
      <c r="V433" s="23">
        <f>RATE(Table1[[#This Row],[Total No. of Coupons]],Table1[[#This Row],[Coupon Amount]],-Table1[[#This Row],[Ask Price]],Table1[[#This Row],[Face value]])</f>
        <v>8.4528794468079857E-2</v>
      </c>
      <c r="W433" s="24">
        <f>Table1[[#This Row],[IRR]]*Table1[[#This Row],[Coupon Frequency2]]</f>
        <v>8.4528794468079857E-2</v>
      </c>
      <c r="X433" s="25" cm="1">
        <f t="array" ref="X4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3" s="26">
        <f>DURATION(Table1[[#This Row],[Issue date]],Table1[[#This Row],[Maturity date]],Table1[[#This Row],[Current coupon %]],Table1[[#This Row],[Yield (Annualised)]],Table1[[#This Row],[Coupon Frequency2]])</f>
        <v>6.9571529453903551</v>
      </c>
      <c r="Z433" s="26">
        <f>Table1[[#This Row],[Macaulay Duration in Years]]/(1+Table1[[#This Row],[IRR]])</f>
        <v>6.4149084661256719</v>
      </c>
      <c r="AA433" s="27">
        <f>VLOOKUP(Table1[[#This Row],[Yield Cluster]],'[1]Cluster Details'!$B$3:$C$16,2,0)</f>
        <v>7.8548801574189142E-2</v>
      </c>
      <c r="AB433" s="28">
        <f>PRICE(Table1[[#This Row],[Issue date]],Table1[[#This Row],[Maturity date]],Table1[[#This Row],[Current coupon %]],Table1[[#This Row],[Average Cluster Yield]],100,Table1[[#This Row],[Coupon Frequency2]])*Table1[[#This Row],[Face value]]/100</f>
        <v>1124.6235564479978</v>
      </c>
      <c r="AC433" s="27" t="str">
        <f>IF(Table1[[#This Row],[Ask Price]]&gt;Table1[[#This Row],[Calculated Bond Price]],"Rich","Cheap")</f>
        <v>Cheap</v>
      </c>
      <c r="AD433" s="28">
        <f>PRICE(Table1[[#This Row],[Issue date]],Table1[[#This Row],[Maturity date]],Table1[[#This Row],[Current coupon %]],Table1[[#This Row],[Yield (Annualised)]]+$AE$2,100,Table1[[#This Row],[Coupon Frequency2]])*Table1[[#This Row],[Face value]]/100</f>
        <v>1015.5480435630773</v>
      </c>
      <c r="AE433" s="28">
        <f>PRICE(Table1[[#This Row],[Issue date]],Table1[[#This Row],[Maturity date]],Table1[[#This Row],[Current coupon %]],Table1[[#This Row],[Yield (Annualised)]]-$AE$2,100,Table1[[#This Row],[Coupon Frequency2]])*Table1[[#This Row],[Face value]]/100</f>
        <v>1154.5765899396617</v>
      </c>
      <c r="AF433" s="28">
        <f>(Table1[[#This Row],[P (+ shock)]]+Table1[[#This Row],[P (-shock)]]-2*Table1[[#This Row],[Ask Price]])/(2*Table1[[#This Row],[Ask Price]]*($AE$2^2))</f>
        <v>28.302372933174748</v>
      </c>
    </row>
    <row r="434" spans="1:32" x14ac:dyDescent="0.25">
      <c r="A434" s="21" t="s">
        <v>914</v>
      </c>
      <c r="B434" s="3" t="s">
        <v>915</v>
      </c>
      <c r="C434" s="3" t="s">
        <v>19</v>
      </c>
      <c r="D434" s="4">
        <v>45233</v>
      </c>
      <c r="E434" s="4">
        <v>47060</v>
      </c>
      <c r="F434" s="3">
        <v>1000</v>
      </c>
      <c r="G434" s="3" t="s">
        <v>20</v>
      </c>
      <c r="H434" s="3">
        <v>1027.23</v>
      </c>
      <c r="I434" s="3" t="s">
        <v>20</v>
      </c>
      <c r="J434" s="3">
        <v>102.723</v>
      </c>
      <c r="K434" s="3">
        <v>200</v>
      </c>
      <c r="L434" s="5">
        <v>9.1999999999999998E-2</v>
      </c>
      <c r="M434" s="3" t="s">
        <v>21</v>
      </c>
      <c r="N434" s="3">
        <v>1143</v>
      </c>
      <c r="O434" s="6">
        <f>Table1[[#This Row],[Current coupon %]]*Table1[[#This Row],[Face value]]/Table1[[#This Row],[Ask Price]]</f>
        <v>8.9561247237716968E-2</v>
      </c>
      <c r="P434" s="3"/>
      <c r="Q434" s="3" t="s">
        <v>22</v>
      </c>
      <c r="R434">
        <f t="shared" si="6"/>
        <v>5</v>
      </c>
      <c r="S434" s="22" cm="1">
        <f t="array" ref="S434">_xlfn.IFS(Table1[[#This Row],[Coupon frequency]]="Semi-annual",2,Table1[[#This Row],[Coupon frequency]]="Quarterly",4,Table1[[#This Row],[Coupon frequency]]="Annual",1,Table1[[#This Row],[Coupon frequency]]="Every 4 months",3,Table1[[#This Row],[Coupon frequency]]="Monthly",12)</f>
        <v>1</v>
      </c>
      <c r="T434">
        <f>Table1[[#This Row],[Term to Maturity (Years)]]*Table1[[#This Row],[Coupon Frequency2]]</f>
        <v>5</v>
      </c>
      <c r="U434">
        <f>Table1[[#This Row],[Face value]]*Table1[[#This Row],[Current coupon %]]/Table1[[#This Row],[Coupon Frequency2]]</f>
        <v>92</v>
      </c>
      <c r="V434" s="23">
        <f>RATE(Table1[[#This Row],[Total No. of Coupons]],Table1[[#This Row],[Coupon Amount]],-Table1[[#This Row],[Ask Price]],Table1[[#This Row],[Face value]])</f>
        <v>8.5088361807596088E-2</v>
      </c>
      <c r="W434" s="24">
        <f>Table1[[#This Row],[IRR]]*Table1[[#This Row],[Coupon Frequency2]]</f>
        <v>8.5088361807596088E-2</v>
      </c>
      <c r="X434" s="25" cm="1">
        <f t="array" ref="X4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4" s="26">
        <f>DURATION(Table1[[#This Row],[Issue date]],Table1[[#This Row],[Maturity date]],Table1[[#This Row],[Current coupon %]],Table1[[#This Row],[Yield (Annualised)]],Table1[[#This Row],[Coupon Frequency2]])</f>
        <v>4.236843279563824</v>
      </c>
      <c r="Z434" s="26">
        <f>Table1[[#This Row],[Macaulay Duration in Years]]/(1+Table1[[#This Row],[IRR]])</f>
        <v>3.904606692588493</v>
      </c>
      <c r="AA434" s="27">
        <f>VLOOKUP(Table1[[#This Row],[Yield Cluster]],'[1]Cluster Details'!$B$3:$C$16,2,0)</f>
        <v>7.8548801574189142E-2</v>
      </c>
      <c r="AB434" s="28">
        <f>PRICE(Table1[[#This Row],[Issue date]],Table1[[#This Row],[Maturity date]],Table1[[#This Row],[Current coupon %]],Table1[[#This Row],[Average Cluster Yield]],100,Table1[[#This Row],[Coupon Frequency2]])*Table1[[#This Row],[Face value]]/100</f>
        <v>1053.9127817791853</v>
      </c>
      <c r="AC434" s="27" t="str">
        <f>IF(Table1[[#This Row],[Ask Price]]&gt;Table1[[#This Row],[Calculated Bond Price]],"Rich","Cheap")</f>
        <v>Cheap</v>
      </c>
      <c r="AD434" s="28">
        <f>PRICE(Table1[[#This Row],[Issue date]],Table1[[#This Row],[Maturity date]],Table1[[#This Row],[Current coupon %]],Table1[[#This Row],[Yield (Annualised)]]+$AE$2,100,Table1[[#This Row],[Coupon Frequency2]])*Table1[[#This Row],[Face value]]/100</f>
        <v>988.14428723507865</v>
      </c>
      <c r="AE434" s="28">
        <f>PRICE(Table1[[#This Row],[Issue date]],Table1[[#This Row],[Maturity date]],Table1[[#This Row],[Current coupon %]],Table1[[#This Row],[Yield (Annualised)]]-$AE$2,100,Table1[[#This Row],[Coupon Frequency2]])*Table1[[#This Row],[Face value]]/100</f>
        <v>1068.4064838888035</v>
      </c>
      <c r="AF434" s="28">
        <f>(Table1[[#This Row],[P (+ shock)]]+Table1[[#This Row],[P (-shock)]]-2*Table1[[#This Row],[Ask Price]])/(2*Table1[[#This Row],[Ask Price]]*($AE$2^2))</f>
        <v>10.176742909971233</v>
      </c>
    </row>
    <row r="435" spans="1:32" x14ac:dyDescent="0.25">
      <c r="A435" s="21" t="s">
        <v>916</v>
      </c>
      <c r="B435" s="3" t="s">
        <v>917</v>
      </c>
      <c r="C435" s="3" t="s">
        <v>19</v>
      </c>
      <c r="D435" s="4">
        <v>44225</v>
      </c>
      <c r="E435" s="4">
        <v>46416</v>
      </c>
      <c r="F435" s="3">
        <v>1000</v>
      </c>
      <c r="G435" s="3" t="s">
        <v>20</v>
      </c>
      <c r="H435" s="3">
        <v>1050</v>
      </c>
      <c r="I435" s="3" t="s">
        <v>20</v>
      </c>
      <c r="J435" s="3">
        <v>105</v>
      </c>
      <c r="K435" s="3">
        <v>100</v>
      </c>
      <c r="L435" s="5">
        <v>9.4E-2</v>
      </c>
      <c r="M435" s="3" t="s">
        <v>21</v>
      </c>
      <c r="N435" s="3">
        <v>499</v>
      </c>
      <c r="O435" s="6">
        <f>Table1[[#This Row],[Current coupon %]]*Table1[[#This Row],[Face value]]/Table1[[#This Row],[Ask Price]]</f>
        <v>8.9523809523809519E-2</v>
      </c>
      <c r="P435" s="3"/>
      <c r="Q435" s="3" t="s">
        <v>22</v>
      </c>
      <c r="R435">
        <f t="shared" si="6"/>
        <v>6</v>
      </c>
      <c r="S435" s="22" cm="1">
        <f t="array" ref="S435">_xlfn.IFS(Table1[[#This Row],[Coupon frequency]]="Semi-annual",2,Table1[[#This Row],[Coupon frequency]]="Quarterly",4,Table1[[#This Row],[Coupon frequency]]="Annual",1,Table1[[#This Row],[Coupon frequency]]="Every 4 months",3,Table1[[#This Row],[Coupon frequency]]="Monthly",12)</f>
        <v>1</v>
      </c>
      <c r="T435">
        <f>Table1[[#This Row],[Term to Maturity (Years)]]*Table1[[#This Row],[Coupon Frequency2]]</f>
        <v>6</v>
      </c>
      <c r="U435">
        <f>Table1[[#This Row],[Face value]]*Table1[[#This Row],[Current coupon %]]/Table1[[#This Row],[Coupon Frequency2]]</f>
        <v>94</v>
      </c>
      <c r="V435" s="23">
        <f>RATE(Table1[[#This Row],[Total No. of Coupons]],Table1[[#This Row],[Coupon Amount]],-Table1[[#This Row],[Ask Price]],Table1[[#This Row],[Face value]])</f>
        <v>8.3082876393820893E-2</v>
      </c>
      <c r="W435" s="24">
        <f>Table1[[#This Row],[IRR]]*Table1[[#This Row],[Coupon Frequency2]]</f>
        <v>8.3082876393820893E-2</v>
      </c>
      <c r="X435" s="25" cm="1">
        <f t="array" ref="X4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5" s="26">
        <f>DURATION(Table1[[#This Row],[Issue date]],Table1[[#This Row],[Maturity date]],Table1[[#This Row],[Current coupon %]],Table1[[#This Row],[Yield (Annualised)]],Table1[[#This Row],[Coupon Frequency2]])</f>
        <v>4.8798891356335874</v>
      </c>
      <c r="Z435" s="26">
        <f>Table1[[#This Row],[Macaulay Duration in Years]]/(1+Table1[[#This Row],[IRR]])</f>
        <v>4.505554692066986</v>
      </c>
      <c r="AA435" s="27">
        <f>VLOOKUP(Table1[[#This Row],[Yield Cluster]],'[1]Cluster Details'!$B$3:$C$16,2,0)</f>
        <v>7.8548801574189142E-2</v>
      </c>
      <c r="AB435" s="28">
        <f>PRICE(Table1[[#This Row],[Issue date]],Table1[[#This Row],[Maturity date]],Table1[[#This Row],[Current coupon %]],Table1[[#This Row],[Average Cluster Yield]],100,Table1[[#This Row],[Coupon Frequency2]])*Table1[[#This Row],[Face value]]/100</f>
        <v>1071.7445852870687</v>
      </c>
      <c r="AC435" s="27" t="str">
        <f>IF(Table1[[#This Row],[Ask Price]]&gt;Table1[[#This Row],[Calculated Bond Price]],"Rich","Cheap")</f>
        <v>Cheap</v>
      </c>
      <c r="AD435" s="28">
        <f>PRICE(Table1[[#This Row],[Issue date]],Table1[[#This Row],[Maturity date]],Table1[[#This Row],[Current coupon %]],Table1[[#This Row],[Yield (Annualised)]]+$AE$2,100,Table1[[#This Row],[Coupon Frequency2]])*Table1[[#This Row],[Face value]]/100</f>
        <v>1004.0765997112544</v>
      </c>
      <c r="AE435" s="28">
        <f>PRICE(Table1[[#This Row],[Issue date]],Table1[[#This Row],[Maturity date]],Table1[[#This Row],[Current coupon %]],Table1[[#This Row],[Yield (Annualised)]]-$AE$2,100,Table1[[#This Row],[Coupon Frequency2]])*Table1[[#This Row],[Face value]]/100</f>
        <v>1098.7604462901124</v>
      </c>
      <c r="AF435" s="28">
        <f>(Table1[[#This Row],[P (+ shock)]]+Table1[[#This Row],[P (-shock)]]-2*Table1[[#This Row],[Ask Price]])/(2*Table1[[#This Row],[Ask Price]]*($AE$2^2))</f>
        <v>13.509742863650551</v>
      </c>
    </row>
    <row r="436" spans="1:32" x14ac:dyDescent="0.25">
      <c r="A436" s="21" t="s">
        <v>918</v>
      </c>
      <c r="B436" s="3" t="s">
        <v>919</v>
      </c>
      <c r="C436" s="3" t="s">
        <v>19</v>
      </c>
      <c r="D436" s="4">
        <v>40998</v>
      </c>
      <c r="E436" s="4">
        <v>46476</v>
      </c>
      <c r="F436" s="3">
        <v>5000</v>
      </c>
      <c r="G436" s="3" t="s">
        <v>20</v>
      </c>
      <c r="H436" s="3">
        <v>5112</v>
      </c>
      <c r="I436" s="3" t="s">
        <v>20</v>
      </c>
      <c r="J436" s="3">
        <v>102.24</v>
      </c>
      <c r="K436" s="3">
        <v>4</v>
      </c>
      <c r="L436" s="5">
        <v>9.1499999999999998E-2</v>
      </c>
      <c r="M436" s="3" t="s">
        <v>21</v>
      </c>
      <c r="N436" s="3">
        <v>559</v>
      </c>
      <c r="O436" s="6">
        <f>Table1[[#This Row],[Current coupon %]]*Table1[[#This Row],[Face value]]/Table1[[#This Row],[Ask Price]]</f>
        <v>8.949530516431925E-2</v>
      </c>
      <c r="P436" s="3"/>
      <c r="Q436" s="3" t="s">
        <v>22</v>
      </c>
      <c r="R436">
        <f t="shared" si="6"/>
        <v>15</v>
      </c>
      <c r="S436" s="22" cm="1">
        <f t="array" ref="S436">_xlfn.IFS(Table1[[#This Row],[Coupon frequency]]="Semi-annual",2,Table1[[#This Row],[Coupon frequency]]="Quarterly",4,Table1[[#This Row],[Coupon frequency]]="Annual",1,Table1[[#This Row],[Coupon frequency]]="Every 4 months",3,Table1[[#This Row],[Coupon frequency]]="Monthly",12)</f>
        <v>1</v>
      </c>
      <c r="T436">
        <f>Table1[[#This Row],[Term to Maturity (Years)]]*Table1[[#This Row],[Coupon Frequency2]]</f>
        <v>15</v>
      </c>
      <c r="U436">
        <f>Table1[[#This Row],[Face value]]*Table1[[#This Row],[Current coupon %]]/Table1[[#This Row],[Coupon Frequency2]]</f>
        <v>457.5</v>
      </c>
      <c r="V436" s="23">
        <f>RATE(Table1[[#This Row],[Total No. of Coupons]],Table1[[#This Row],[Coupon Amount]],-Table1[[#This Row],[Ask Price]],Table1[[#This Row],[Face value]])</f>
        <v>8.8741690469293866E-2</v>
      </c>
      <c r="W436" s="24">
        <f>Table1[[#This Row],[IRR]]*Table1[[#This Row],[Coupon Frequency2]]</f>
        <v>8.8741690469293866E-2</v>
      </c>
      <c r="X436" s="25" cm="1">
        <f t="array" ref="X4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6" s="26">
        <f>DURATION(Table1[[#This Row],[Issue date]],Table1[[#This Row],[Maturity date]],Table1[[#This Row],[Current coupon %]],Table1[[#This Row],[Yield (Annualised)]],Table1[[#This Row],[Coupon Frequency2]])</f>
        <v>8.7892811034699676</v>
      </c>
      <c r="Z436" s="26">
        <f>Table1[[#This Row],[Macaulay Duration in Years]]/(1+Table1[[#This Row],[IRR]])</f>
        <v>8.0728800783603809</v>
      </c>
      <c r="AA436" s="27">
        <f>VLOOKUP(Table1[[#This Row],[Yield Cluster]],'[1]Cluster Details'!$B$3:$C$16,2,0)</f>
        <v>7.8548801574189142E-2</v>
      </c>
      <c r="AB436" s="28">
        <f>PRICE(Table1[[#This Row],[Issue date]],Table1[[#This Row],[Maturity date]],Table1[[#This Row],[Current coupon %]],Table1[[#This Row],[Average Cluster Yield]],100,Table1[[#This Row],[Coupon Frequency2]])*Table1[[#This Row],[Face value]]/100</f>
        <v>5559.2229829409544</v>
      </c>
      <c r="AC436" s="27" t="str">
        <f>IF(Table1[[#This Row],[Ask Price]]&gt;Table1[[#This Row],[Calculated Bond Price]],"Rich","Cheap")</f>
        <v>Cheap</v>
      </c>
      <c r="AD436" s="28">
        <f>PRICE(Table1[[#This Row],[Issue date]],Table1[[#This Row],[Maturity date]],Table1[[#This Row],[Current coupon %]],Table1[[#This Row],[Yield (Annualised)]]+$AE$2,100,Table1[[#This Row],[Coupon Frequency2]])*Table1[[#This Row],[Face value]]/100</f>
        <v>4722.6061840741786</v>
      </c>
      <c r="AE436" s="28">
        <f>PRICE(Table1[[#This Row],[Issue date]],Table1[[#This Row],[Maturity date]],Table1[[#This Row],[Current coupon %]],Table1[[#This Row],[Yield (Annualised)]]-$AE$2,100,Table1[[#This Row],[Coupon Frequency2]])*Table1[[#This Row],[Face value]]/100</f>
        <v>5550.2427626419258</v>
      </c>
      <c r="AF436" s="28">
        <f>(Table1[[#This Row],[P (+ shock)]]+Table1[[#This Row],[P (-shock)]]-2*Table1[[#This Row],[Ask Price]])/(2*Table1[[#This Row],[Ask Price]]*($AE$2^2))</f>
        <v>47.778703752059151</v>
      </c>
    </row>
    <row r="437" spans="1:32" x14ac:dyDescent="0.25">
      <c r="A437" s="21" t="s">
        <v>920</v>
      </c>
      <c r="B437" s="3" t="s">
        <v>921</v>
      </c>
      <c r="C437" s="3" t="s">
        <v>19</v>
      </c>
      <c r="D437" s="4">
        <v>43293</v>
      </c>
      <c r="E437" s="4">
        <v>46946</v>
      </c>
      <c r="F437" s="3">
        <v>1000</v>
      </c>
      <c r="G437" s="3" t="s">
        <v>20</v>
      </c>
      <c r="H437" s="3">
        <v>1051</v>
      </c>
      <c r="I437" s="3" t="s">
        <v>20</v>
      </c>
      <c r="J437" s="3">
        <v>105.1</v>
      </c>
      <c r="K437" s="3">
        <v>200</v>
      </c>
      <c r="L437" s="5">
        <v>9.4E-2</v>
      </c>
      <c r="M437" s="3" t="s">
        <v>21</v>
      </c>
      <c r="N437" s="3">
        <v>1029</v>
      </c>
      <c r="O437" s="6">
        <f>Table1[[#This Row],[Current coupon %]]*Table1[[#This Row],[Face value]]/Table1[[#This Row],[Ask Price]]</f>
        <v>8.9438629876308282E-2</v>
      </c>
      <c r="P437" s="3" t="s">
        <v>97</v>
      </c>
      <c r="Q437" s="3" t="s">
        <v>22</v>
      </c>
      <c r="R437">
        <f t="shared" si="6"/>
        <v>10</v>
      </c>
      <c r="S437" s="22" cm="1">
        <f t="array" ref="S437">_xlfn.IFS(Table1[[#This Row],[Coupon frequency]]="Semi-annual",2,Table1[[#This Row],[Coupon frequency]]="Quarterly",4,Table1[[#This Row],[Coupon frequency]]="Annual",1,Table1[[#This Row],[Coupon frequency]]="Every 4 months",3,Table1[[#This Row],[Coupon frequency]]="Monthly",12)</f>
        <v>1</v>
      </c>
      <c r="T437">
        <f>Table1[[#This Row],[Term to Maturity (Years)]]*Table1[[#This Row],[Coupon Frequency2]]</f>
        <v>10</v>
      </c>
      <c r="U437">
        <f>Table1[[#This Row],[Face value]]*Table1[[#This Row],[Current coupon %]]/Table1[[#This Row],[Coupon Frequency2]]</f>
        <v>94</v>
      </c>
      <c r="V437" s="23">
        <f>RATE(Table1[[#This Row],[Total No. of Coupons]],Table1[[#This Row],[Coupon Amount]],-Table1[[#This Row],[Ask Price]],Table1[[#This Row],[Face value]])</f>
        <v>8.6186080655240055E-2</v>
      </c>
      <c r="W437" s="24">
        <f>Table1[[#This Row],[IRR]]*Table1[[#This Row],[Coupon Frequency2]]</f>
        <v>8.6186080655240055E-2</v>
      </c>
      <c r="X437" s="25" cm="1">
        <f t="array" ref="X4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7" s="26">
        <f>DURATION(Table1[[#This Row],[Issue date]],Table1[[#This Row],[Maturity date]],Table1[[#This Row],[Current coupon %]],Table1[[#This Row],[Yield (Annualised)]],Table1[[#This Row],[Coupon Frequency2]])</f>
        <v>6.9794900977508352</v>
      </c>
      <c r="Z437" s="26">
        <f>Table1[[#This Row],[Macaulay Duration in Years]]/(1+Table1[[#This Row],[IRR]])</f>
        <v>6.4256854530307255</v>
      </c>
      <c r="AA437" s="27">
        <f>VLOOKUP(Table1[[#This Row],[Yield Cluster]],'[1]Cluster Details'!$B$3:$C$16,2,0)</f>
        <v>7.8548801574189142E-2</v>
      </c>
      <c r="AB437" s="28">
        <f>PRICE(Table1[[#This Row],[Issue date]],Table1[[#This Row],[Maturity date]],Table1[[#This Row],[Current coupon %]],Table1[[#This Row],[Average Cluster Yield]],100,Table1[[#This Row],[Coupon Frequency2]])*Table1[[#This Row],[Face value]]/100</f>
        <v>1104.360879698449</v>
      </c>
      <c r="AC437" s="27" t="str">
        <f>IF(Table1[[#This Row],[Ask Price]]&gt;Table1[[#This Row],[Calculated Bond Price]],"Rich","Cheap")</f>
        <v>Cheap</v>
      </c>
      <c r="AD437" s="28">
        <f>PRICE(Table1[[#This Row],[Issue date]],Table1[[#This Row],[Maturity date]],Table1[[#This Row],[Current coupon %]],Table1[[#This Row],[Yield (Annualised)]]+$AE$2,100,Table1[[#This Row],[Coupon Frequency2]])*Table1[[#This Row],[Face value]]/100</f>
        <v>986.3445491475884</v>
      </c>
      <c r="AE437" s="28">
        <f>PRICE(Table1[[#This Row],[Issue date]],Table1[[#This Row],[Maturity date]],Table1[[#This Row],[Current coupon %]],Table1[[#This Row],[Yield (Annualised)]]-$AE$2,100,Table1[[#This Row],[Coupon Frequency2]])*Table1[[#This Row],[Face value]]/100</f>
        <v>1121.6167147932219</v>
      </c>
      <c r="AF437" s="28">
        <f>(Table1[[#This Row],[P (+ shock)]]+Table1[[#This Row],[P (-shock)]]-2*Table1[[#This Row],[Ask Price]])/(2*Table1[[#This Row],[Ask Price]]*($AE$2^2))</f>
        <v>28.359961659422304</v>
      </c>
    </row>
    <row r="438" spans="1:32" x14ac:dyDescent="0.25">
      <c r="A438" s="21" t="s">
        <v>922</v>
      </c>
      <c r="B438" s="3" t="s">
        <v>923</v>
      </c>
      <c r="C438" s="3" t="s">
        <v>19</v>
      </c>
      <c r="D438" s="4">
        <v>44567</v>
      </c>
      <c r="E438" s="4">
        <v>46393</v>
      </c>
      <c r="F438" s="3">
        <v>1000</v>
      </c>
      <c r="G438" s="3" t="s">
        <v>20</v>
      </c>
      <c r="H438" s="3">
        <v>1035</v>
      </c>
      <c r="I438" s="3" t="s">
        <v>20</v>
      </c>
      <c r="J438" s="3">
        <v>103.49999999999901</v>
      </c>
      <c r="K438" s="3">
        <v>30</v>
      </c>
      <c r="L438" s="5">
        <v>9.2499999999999999E-2</v>
      </c>
      <c r="M438" s="3" t="s">
        <v>21</v>
      </c>
      <c r="N438" s="3">
        <v>476</v>
      </c>
      <c r="O438" s="6">
        <f>Table1[[#This Row],[Current coupon %]]*Table1[[#This Row],[Face value]]/Table1[[#This Row],[Ask Price]]</f>
        <v>8.9371980676328497E-2</v>
      </c>
      <c r="P438" s="3" t="s">
        <v>25</v>
      </c>
      <c r="Q438" s="3" t="s">
        <v>22</v>
      </c>
      <c r="R438">
        <f t="shared" si="6"/>
        <v>5</v>
      </c>
      <c r="S438" s="22" cm="1">
        <f t="array" ref="S438">_xlfn.IFS(Table1[[#This Row],[Coupon frequency]]="Semi-annual",2,Table1[[#This Row],[Coupon frequency]]="Quarterly",4,Table1[[#This Row],[Coupon frequency]]="Annual",1,Table1[[#This Row],[Coupon frequency]]="Every 4 months",3,Table1[[#This Row],[Coupon frequency]]="Monthly",12)</f>
        <v>1</v>
      </c>
      <c r="T438">
        <f>Table1[[#This Row],[Term to Maturity (Years)]]*Table1[[#This Row],[Coupon Frequency2]]</f>
        <v>5</v>
      </c>
      <c r="U438">
        <f>Table1[[#This Row],[Face value]]*Table1[[#This Row],[Current coupon %]]/Table1[[#This Row],[Coupon Frequency2]]</f>
        <v>92.5</v>
      </c>
      <c r="V438" s="23">
        <f>RATE(Table1[[#This Row],[Total No. of Coupons]],Table1[[#This Row],[Coupon Amount]],-Table1[[#This Row],[Ask Price]],Table1[[#This Row],[Face value]])</f>
        <v>8.3649542424341181E-2</v>
      </c>
      <c r="W438" s="24">
        <f>Table1[[#This Row],[IRR]]*Table1[[#This Row],[Coupon Frequency2]]</f>
        <v>8.3649542424341181E-2</v>
      </c>
      <c r="X438" s="25" cm="1">
        <f t="array" ref="X4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8" s="26">
        <f>DURATION(Table1[[#This Row],[Issue date]],Table1[[#This Row],[Maturity date]],Table1[[#This Row],[Current coupon %]],Table1[[#This Row],[Yield (Annualised)]],Table1[[#This Row],[Coupon Frequency2]])</f>
        <v>4.2365124024467571</v>
      </c>
      <c r="Z438" s="26">
        <f>Table1[[#This Row],[Macaulay Duration in Years]]/(1+Table1[[#This Row],[IRR]])</f>
        <v>3.9094857115602433</v>
      </c>
      <c r="AA438" s="27">
        <f>VLOOKUP(Table1[[#This Row],[Yield Cluster]],'[1]Cluster Details'!$B$3:$C$16,2,0)</f>
        <v>7.8548801574189142E-2</v>
      </c>
      <c r="AB438" s="28">
        <f>PRICE(Table1[[#This Row],[Issue date]],Table1[[#This Row],[Maturity date]],Table1[[#This Row],[Current coupon %]],Table1[[#This Row],[Average Cluster Yield]],100,Table1[[#This Row],[Coupon Frequency2]])*Table1[[#This Row],[Face value]]/100</f>
        <v>1055.9167958481376</v>
      </c>
      <c r="AC438" s="27" t="str">
        <f>IF(Table1[[#This Row],[Ask Price]]&gt;Table1[[#This Row],[Calculated Bond Price]],"Rich","Cheap")</f>
        <v>Cheap</v>
      </c>
      <c r="AD438" s="28">
        <f>PRICE(Table1[[#This Row],[Issue date]],Table1[[#This Row],[Maturity date]],Table1[[#This Row],[Current coupon %]],Table1[[#This Row],[Yield (Annualised)]]+$AE$2,100,Table1[[#This Row],[Coupon Frequency2]])*Table1[[#This Row],[Face value]]/100</f>
        <v>995.57070257847113</v>
      </c>
      <c r="AE438" s="28">
        <f>PRICE(Table1[[#This Row],[Issue date]],Table1[[#This Row],[Maturity date]],Table1[[#This Row],[Current coupon %]],Table1[[#This Row],[Yield (Annualised)]]-$AE$2,100,Table1[[#This Row],[Coupon Frequency2]])*Table1[[#This Row],[Face value]]/100</f>
        <v>1076.5411671779157</v>
      </c>
      <c r="AF438" s="28">
        <f>(Table1[[#This Row],[P (+ shock)]]+Table1[[#This Row],[P (-shock)]]-2*Table1[[#This Row],[Ask Price]])/(2*Table1[[#This Row],[Ask Price]]*($AE$2^2))</f>
        <v>10.202269354526679</v>
      </c>
    </row>
    <row r="439" spans="1:32" x14ac:dyDescent="0.25">
      <c r="A439" s="21" t="s">
        <v>924</v>
      </c>
      <c r="B439" s="3" t="s">
        <v>925</v>
      </c>
      <c r="C439" s="3" t="s">
        <v>19</v>
      </c>
      <c r="D439" s="4">
        <v>45411</v>
      </c>
      <c r="E439" s="4">
        <v>46141</v>
      </c>
      <c r="F439" s="3">
        <v>1000</v>
      </c>
      <c r="G439" s="3" t="s">
        <v>20</v>
      </c>
      <c r="H439" s="3">
        <v>1007.2</v>
      </c>
      <c r="I439" s="3" t="s">
        <v>20</v>
      </c>
      <c r="J439" s="3">
        <v>100.72</v>
      </c>
      <c r="K439" s="3">
        <v>20</v>
      </c>
      <c r="L439" s="5">
        <v>0.09</v>
      </c>
      <c r="M439" s="3" t="s">
        <v>21</v>
      </c>
      <c r="N439" s="3">
        <v>224</v>
      </c>
      <c r="O439" s="6">
        <f>Table1[[#This Row],[Current coupon %]]*Table1[[#This Row],[Face value]]/Table1[[#This Row],[Ask Price]]</f>
        <v>8.9356632247815718E-2</v>
      </c>
      <c r="P439" s="3"/>
      <c r="Q439" s="3" t="s">
        <v>22</v>
      </c>
      <c r="R439">
        <f t="shared" si="6"/>
        <v>2</v>
      </c>
      <c r="S439" s="22" cm="1">
        <f t="array" ref="S439">_xlfn.IFS(Table1[[#This Row],[Coupon frequency]]="Semi-annual",2,Table1[[#This Row],[Coupon frequency]]="Quarterly",4,Table1[[#This Row],[Coupon frequency]]="Annual",1,Table1[[#This Row],[Coupon frequency]]="Every 4 months",3,Table1[[#This Row],[Coupon frequency]]="Monthly",12)</f>
        <v>1</v>
      </c>
      <c r="T439">
        <f>Table1[[#This Row],[Term to Maturity (Years)]]*Table1[[#This Row],[Coupon Frequency2]]</f>
        <v>2</v>
      </c>
      <c r="U439">
        <f>Table1[[#This Row],[Face value]]*Table1[[#This Row],[Current coupon %]]/Table1[[#This Row],[Coupon Frequency2]]</f>
        <v>90</v>
      </c>
      <c r="V439" s="23">
        <f>RATE(Table1[[#This Row],[Total No. of Coupons]],Table1[[#This Row],[Coupon Amount]],-Table1[[#This Row],[Ask Price]],Table1[[#This Row],[Face value]])</f>
        <v>8.5929608367839846E-2</v>
      </c>
      <c r="W439" s="24">
        <f>Table1[[#This Row],[IRR]]*Table1[[#This Row],[Coupon Frequency2]]</f>
        <v>8.5929608367839846E-2</v>
      </c>
      <c r="X439" s="25" cm="1">
        <f t="array" ref="X4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39" s="26">
        <f>DURATION(Table1[[#This Row],[Issue date]],Table1[[#This Row],[Maturity date]],Table1[[#This Row],[Current coupon %]],Table1[[#This Row],[Yield (Annualised)]],Table1[[#This Row],[Coupon Frequency2]])</f>
        <v>1.9177141579350441</v>
      </c>
      <c r="Z439" s="26">
        <f>Table1[[#This Row],[Macaulay Duration in Years]]/(1+Table1[[#This Row],[IRR]])</f>
        <v>1.7659654393413056</v>
      </c>
      <c r="AA439" s="27">
        <f>VLOOKUP(Table1[[#This Row],[Yield Cluster]],'[1]Cluster Details'!$B$3:$C$16,2,0)</f>
        <v>7.8548801574189142E-2</v>
      </c>
      <c r="AB439" s="28">
        <f>PRICE(Table1[[#This Row],[Issue date]],Table1[[#This Row],[Maturity date]],Table1[[#This Row],[Current coupon %]],Table1[[#This Row],[Average Cluster Yield]],100,Table1[[#This Row],[Coupon Frequency2]])*Table1[[#This Row],[Face value]]/100</f>
        <v>1020.4612218677136</v>
      </c>
      <c r="AC439" s="27" t="str">
        <f>IF(Table1[[#This Row],[Ask Price]]&gt;Table1[[#This Row],[Calculated Bond Price]],"Rich","Cheap")</f>
        <v>Cheap</v>
      </c>
      <c r="AD439" s="28">
        <f>PRICE(Table1[[#This Row],[Issue date]],Table1[[#This Row],[Maturity date]],Table1[[#This Row],[Current coupon %]],Table1[[#This Row],[Yield (Annualised)]]+$AE$2,100,Table1[[#This Row],[Coupon Frequency2]])*Table1[[#This Row],[Face value]]/100</f>
        <v>989.65245359422397</v>
      </c>
      <c r="AE439" s="28">
        <f>PRICE(Table1[[#This Row],[Issue date]],Table1[[#This Row],[Maturity date]],Table1[[#This Row],[Current coupon %]],Table1[[#This Row],[Yield (Annualised)]]-$AE$2,100,Table1[[#This Row],[Coupon Frequency2]])*Table1[[#This Row],[Face value]]/100</f>
        <v>1025.2319660056669</v>
      </c>
      <c r="AF439" s="28">
        <f>(Table1[[#This Row],[P (+ shock)]]+Table1[[#This Row],[P (-shock)]]-2*Table1[[#This Row],[Ask Price]])/(2*Table1[[#This Row],[Ask Price]]*($AE$2^2))</f>
        <v>2.4047835578374244</v>
      </c>
    </row>
    <row r="440" spans="1:32" x14ac:dyDescent="0.25">
      <c r="A440" s="21" t="s">
        <v>926</v>
      </c>
      <c r="B440" s="3" t="s">
        <v>927</v>
      </c>
      <c r="C440" s="3" t="s">
        <v>19</v>
      </c>
      <c r="D440" s="4">
        <v>45667</v>
      </c>
      <c r="E440" s="4">
        <v>46397</v>
      </c>
      <c r="F440" s="3">
        <v>1000</v>
      </c>
      <c r="G440" s="3" t="s">
        <v>20</v>
      </c>
      <c r="H440" s="3">
        <v>1052.49</v>
      </c>
      <c r="I440" s="3" t="s">
        <v>20</v>
      </c>
      <c r="J440" s="3">
        <v>105.249</v>
      </c>
      <c r="K440" s="3">
        <v>34</v>
      </c>
      <c r="L440" s="5">
        <v>9.4E-2</v>
      </c>
      <c r="M440" s="3" t="s">
        <v>21</v>
      </c>
      <c r="N440" s="3">
        <v>480</v>
      </c>
      <c r="O440" s="6">
        <f>Table1[[#This Row],[Current coupon %]]*Table1[[#This Row],[Face value]]/Table1[[#This Row],[Ask Price]]</f>
        <v>8.9312012465676632E-2</v>
      </c>
      <c r="P440" s="3"/>
      <c r="Q440" s="3" t="s">
        <v>22</v>
      </c>
      <c r="R440">
        <f t="shared" si="6"/>
        <v>2</v>
      </c>
      <c r="S440" s="22" cm="1">
        <f t="array" ref="S440">_xlfn.IFS(Table1[[#This Row],[Coupon frequency]]="Semi-annual",2,Table1[[#This Row],[Coupon frequency]]="Quarterly",4,Table1[[#This Row],[Coupon frequency]]="Annual",1,Table1[[#This Row],[Coupon frequency]]="Every 4 months",3,Table1[[#This Row],[Coupon frequency]]="Monthly",12)</f>
        <v>1</v>
      </c>
      <c r="T440">
        <f>Table1[[#This Row],[Term to Maturity (Years)]]*Table1[[#This Row],[Coupon Frequency2]]</f>
        <v>2</v>
      </c>
      <c r="U440">
        <f>Table1[[#This Row],[Face value]]*Table1[[#This Row],[Current coupon %]]/Table1[[#This Row],[Coupon Frequency2]]</f>
        <v>94</v>
      </c>
      <c r="V440" s="23">
        <f>RATE(Table1[[#This Row],[Total No. of Coupons]],Table1[[#This Row],[Coupon Amount]],-Table1[[#This Row],[Ask Price]],Table1[[#This Row],[Face value]])</f>
        <v>6.5162725243753661E-2</v>
      </c>
      <c r="W440" s="24">
        <f>Table1[[#This Row],[IRR]]*Table1[[#This Row],[Coupon Frequency2]]</f>
        <v>6.5162725243753661E-2</v>
      </c>
      <c r="X440" s="25" cm="1">
        <f t="array" ref="X4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0" s="26">
        <f>DURATION(Table1[[#This Row],[Issue date]],Table1[[#This Row],[Maturity date]],Table1[[#This Row],[Current coupon %]],Table1[[#This Row],[Yield (Annualised)]],Table1[[#This Row],[Coupon Frequency2]])</f>
        <v>1.9161517669093793</v>
      </c>
      <c r="Z440" s="26">
        <f>Table1[[#This Row],[Macaulay Duration in Years]]/(1+Table1[[#This Row],[IRR]])</f>
        <v>1.7989286721152242</v>
      </c>
      <c r="AA440" s="27">
        <f>VLOOKUP(Table1[[#This Row],[Yield Cluster]],'[1]Cluster Details'!$B$3:$C$16,2,0)</f>
        <v>7.8548801574189142E-2</v>
      </c>
      <c r="AB440" s="28">
        <f>PRICE(Table1[[#This Row],[Issue date]],Table1[[#This Row],[Maturity date]],Table1[[#This Row],[Current coupon %]],Table1[[#This Row],[Average Cluster Yield]],100,Table1[[#This Row],[Coupon Frequency2]])*Table1[[#This Row],[Face value]]/100</f>
        <v>1027.6084988973716</v>
      </c>
      <c r="AC440" s="27" t="str">
        <f>IF(Table1[[#This Row],[Ask Price]]&gt;Table1[[#This Row],[Calculated Bond Price]],"Rich","Cheap")</f>
        <v>Rich</v>
      </c>
      <c r="AD440" s="28">
        <f>PRICE(Table1[[#This Row],[Issue date]],Table1[[#This Row],[Maturity date]],Table1[[#This Row],[Current coupon %]],Table1[[#This Row],[Yield (Annualised)]]+$AE$2,100,Table1[[#This Row],[Coupon Frequency2]])*Table1[[#This Row],[Face value]]/100</f>
        <v>1033.8159685829633</v>
      </c>
      <c r="AE440" s="28">
        <f>PRICE(Table1[[#This Row],[Issue date]],Table1[[#This Row],[Maturity date]],Table1[[#This Row],[Current coupon %]],Table1[[#This Row],[Yield (Annualised)]]-$AE$2,100,Table1[[#This Row],[Coupon Frequency2]])*Table1[[#This Row],[Face value]]/100</f>
        <v>1071.6895872887296</v>
      </c>
      <c r="AF440" s="28">
        <f>(Table1[[#This Row],[P (+ shock)]]+Table1[[#This Row],[P (-shock)]]-2*Table1[[#This Row],[Ask Price]])/(2*Table1[[#This Row],[Ask Price]]*($AE$2^2))</f>
        <v>2.4967262002160893</v>
      </c>
    </row>
    <row r="441" spans="1:32" x14ac:dyDescent="0.25">
      <c r="A441" s="21" t="s">
        <v>928</v>
      </c>
      <c r="B441" s="3" t="s">
        <v>929</v>
      </c>
      <c r="C441" s="3" t="s">
        <v>19</v>
      </c>
      <c r="D441" s="4">
        <v>45768</v>
      </c>
      <c r="E441" s="4">
        <v>46224</v>
      </c>
      <c r="F441" s="3">
        <v>1000</v>
      </c>
      <c r="G441" s="3" t="s">
        <v>20</v>
      </c>
      <c r="H441" s="3">
        <v>1010</v>
      </c>
      <c r="I441" s="3" t="s">
        <v>20</v>
      </c>
      <c r="J441" s="3">
        <v>101</v>
      </c>
      <c r="K441" s="3">
        <v>275</v>
      </c>
      <c r="L441" s="5">
        <v>0.09</v>
      </c>
      <c r="M441" s="3" t="s">
        <v>21</v>
      </c>
      <c r="N441" s="3">
        <v>307</v>
      </c>
      <c r="O441" s="6">
        <f>Table1[[#This Row],[Current coupon %]]*Table1[[#This Row],[Face value]]/Table1[[#This Row],[Ask Price]]</f>
        <v>8.9108910891089105E-2</v>
      </c>
      <c r="P441" s="3" t="s">
        <v>25</v>
      </c>
      <c r="Q441" s="3" t="s">
        <v>22</v>
      </c>
      <c r="R441">
        <f t="shared" si="6"/>
        <v>1</v>
      </c>
      <c r="S441" s="22" cm="1">
        <f t="array" ref="S441">_xlfn.IFS(Table1[[#This Row],[Coupon frequency]]="Semi-annual",2,Table1[[#This Row],[Coupon frequency]]="Quarterly",4,Table1[[#This Row],[Coupon frequency]]="Annual",1,Table1[[#This Row],[Coupon frequency]]="Every 4 months",3,Table1[[#This Row],[Coupon frequency]]="Monthly",12)</f>
        <v>1</v>
      </c>
      <c r="T441">
        <f>Table1[[#This Row],[Term to Maturity (Years)]]*Table1[[#This Row],[Coupon Frequency2]]</f>
        <v>1</v>
      </c>
      <c r="U441">
        <f>Table1[[#This Row],[Face value]]*Table1[[#This Row],[Current coupon %]]/Table1[[#This Row],[Coupon Frequency2]]</f>
        <v>90</v>
      </c>
      <c r="V441" s="23">
        <f>RATE(Table1[[#This Row],[Total No. of Coupons]],Table1[[#This Row],[Coupon Amount]],-Table1[[#This Row],[Ask Price]],Table1[[#This Row],[Face value]])</f>
        <v>7.9207920792079223E-2</v>
      </c>
      <c r="W441" s="24">
        <f>Table1[[#This Row],[IRR]]*Table1[[#This Row],[Coupon Frequency2]]</f>
        <v>7.9207920792079223E-2</v>
      </c>
      <c r="X441" s="25" cm="1">
        <f t="array" ref="X4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1" s="26">
        <f>DURATION(Table1[[#This Row],[Issue date]],Table1[[#This Row],[Maturity date]],Table1[[#This Row],[Current coupon %]],Table1[[#This Row],[Yield (Annualised)]],Table1[[#This Row],[Coupon Frequency2]])</f>
        <v>1.1681818181818182</v>
      </c>
      <c r="Z441" s="26">
        <f>Table1[[#This Row],[Macaulay Duration in Years]]/(1+Table1[[#This Row],[IRR]])</f>
        <v>1.0824437030859049</v>
      </c>
      <c r="AA441" s="27">
        <f>VLOOKUP(Table1[[#This Row],[Yield Cluster]],'[1]Cluster Details'!$B$3:$C$16,2,0)</f>
        <v>7.8548801574189142E-2</v>
      </c>
      <c r="AB441" s="28">
        <f>PRICE(Table1[[#This Row],[Issue date]],Table1[[#This Row],[Maturity date]],Table1[[#This Row],[Current coupon %]],Table1[[#This Row],[Average Cluster Yield]],100,Table1[[#This Row],[Coupon Frequency2]])*Table1[[#This Row],[Face value]]/100</f>
        <v>1012.5064678633206</v>
      </c>
      <c r="AC441" s="27" t="str">
        <f>IF(Table1[[#This Row],[Ask Price]]&gt;Table1[[#This Row],[Calculated Bond Price]],"Rich","Cheap")</f>
        <v>Cheap</v>
      </c>
      <c r="AD441" s="28">
        <f>PRICE(Table1[[#This Row],[Issue date]],Table1[[#This Row],[Maturity date]],Table1[[#This Row],[Current coupon %]],Table1[[#This Row],[Yield (Annualised)]]+$AE$2,100,Table1[[#This Row],[Coupon Frequency2]])*Table1[[#This Row],[Face value]]/100</f>
        <v>1000.1734627981546</v>
      </c>
      <c r="AE441" s="28">
        <f>PRICE(Table1[[#This Row],[Issue date]],Table1[[#This Row],[Maturity date]],Table1[[#This Row],[Current coupon %]],Table1[[#This Row],[Yield (Annualised)]]-$AE$2,100,Table1[[#This Row],[Coupon Frequency2]])*Table1[[#This Row],[Face value]]/100</f>
        <v>1023.540124753923</v>
      </c>
      <c r="AF441" s="28">
        <f>(Table1[[#This Row],[P (+ shock)]]+Table1[[#This Row],[P (-shock)]]-2*Table1[[#This Row],[Ask Price]])/(2*Table1[[#This Row],[Ask Price]]*($AE$2^2))</f>
        <v>18.384096792463215</v>
      </c>
    </row>
    <row r="442" spans="1:32" x14ac:dyDescent="0.25">
      <c r="A442" s="21" t="s">
        <v>930</v>
      </c>
      <c r="B442" s="3" t="s">
        <v>931</v>
      </c>
      <c r="C442" s="3" t="s">
        <v>19</v>
      </c>
      <c r="D442" s="4">
        <v>44400</v>
      </c>
      <c r="E442" s="4">
        <v>48052</v>
      </c>
      <c r="F442" s="3">
        <v>1000</v>
      </c>
      <c r="G442" s="3" t="s">
        <v>20</v>
      </c>
      <c r="H442" s="3">
        <v>1011</v>
      </c>
      <c r="I442" s="3" t="s">
        <v>20</v>
      </c>
      <c r="J442" s="3">
        <v>101.1</v>
      </c>
      <c r="K442" s="3">
        <v>1000</v>
      </c>
      <c r="L442" s="5">
        <v>0.09</v>
      </c>
      <c r="M442" s="3" t="s">
        <v>21</v>
      </c>
      <c r="N442" s="3">
        <v>2135</v>
      </c>
      <c r="O442" s="6">
        <f>Table1[[#This Row],[Current coupon %]]*Table1[[#This Row],[Face value]]/Table1[[#This Row],[Ask Price]]</f>
        <v>8.9020771513353122E-2</v>
      </c>
      <c r="P442" s="3" t="s">
        <v>54</v>
      </c>
      <c r="Q442" s="3" t="s">
        <v>22</v>
      </c>
      <c r="R442">
        <f t="shared" si="6"/>
        <v>10</v>
      </c>
      <c r="S442" s="22" cm="1">
        <f t="array" ref="S442">_xlfn.IFS(Table1[[#This Row],[Coupon frequency]]="Semi-annual",2,Table1[[#This Row],[Coupon frequency]]="Quarterly",4,Table1[[#This Row],[Coupon frequency]]="Annual",1,Table1[[#This Row],[Coupon frequency]]="Every 4 months",3,Table1[[#This Row],[Coupon frequency]]="Monthly",12)</f>
        <v>1</v>
      </c>
      <c r="T442">
        <f>Table1[[#This Row],[Term to Maturity (Years)]]*Table1[[#This Row],[Coupon Frequency2]]</f>
        <v>10</v>
      </c>
      <c r="U442">
        <f>Table1[[#This Row],[Face value]]*Table1[[#This Row],[Current coupon %]]/Table1[[#This Row],[Coupon Frequency2]]</f>
        <v>90</v>
      </c>
      <c r="V442" s="23">
        <f>RATE(Table1[[#This Row],[Total No. of Coupons]],Table1[[#This Row],[Coupon Amount]],-Table1[[#This Row],[Ask Price]],Table1[[#This Row],[Face value]])</f>
        <v>8.8298792247504657E-2</v>
      </c>
      <c r="W442" s="24">
        <f>Table1[[#This Row],[IRR]]*Table1[[#This Row],[Coupon Frequency2]]</f>
        <v>8.8298792247504657E-2</v>
      </c>
      <c r="X442" s="25" cm="1">
        <f t="array" ref="X4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2" s="26">
        <f>DURATION(Table1[[#This Row],[Issue date]],Table1[[#This Row],[Maturity date]],Table1[[#This Row],[Current coupon %]],Table1[[#This Row],[Yield (Annualised)]],Table1[[#This Row],[Coupon Frequency2]])</f>
        <v>7.0127063739899329</v>
      </c>
      <c r="Z442" s="26">
        <f>Table1[[#This Row],[Macaulay Duration in Years]]/(1+Table1[[#This Row],[IRR]])</f>
        <v>6.4437325704530224</v>
      </c>
      <c r="AA442" s="27">
        <f>VLOOKUP(Table1[[#This Row],[Yield Cluster]],'[1]Cluster Details'!$B$3:$C$16,2,0)</f>
        <v>7.8548801574189142E-2</v>
      </c>
      <c r="AB442" s="28">
        <f>PRICE(Table1[[#This Row],[Issue date]],Table1[[#This Row],[Maturity date]],Table1[[#This Row],[Current coupon %]],Table1[[#This Row],[Average Cluster Yield]],100,Table1[[#This Row],[Coupon Frequency2]])*Table1[[#This Row],[Face value]]/100</f>
        <v>1077.3439773657171</v>
      </c>
      <c r="AC442" s="27" t="str">
        <f>IF(Table1[[#This Row],[Ask Price]]&gt;Table1[[#This Row],[Calculated Bond Price]],"Rich","Cheap")</f>
        <v>Cheap</v>
      </c>
      <c r="AD442" s="28">
        <f>PRICE(Table1[[#This Row],[Issue date]],Table1[[#This Row],[Maturity date]],Table1[[#This Row],[Current coupon %]],Table1[[#This Row],[Yield (Annualised)]]+$AE$2,100,Table1[[#This Row],[Coupon Frequency2]])*Table1[[#This Row],[Face value]]/100</f>
        <v>948.63271124626976</v>
      </c>
      <c r="AE442" s="28">
        <f>PRICE(Table1[[#This Row],[Issue date]],Table1[[#This Row],[Maturity date]],Table1[[#This Row],[Current coupon %]],Table1[[#This Row],[Yield (Annualised)]]-$AE$2,100,Table1[[#This Row],[Coupon Frequency2]])*Table1[[#This Row],[Face value]]/100</f>
        <v>1079.1221140880134</v>
      </c>
      <c r="AF442" s="28">
        <f>(Table1[[#This Row],[P (+ shock)]]+Table1[[#This Row],[P (-shock)]]-2*Table1[[#This Row],[Ask Price]])/(2*Table1[[#This Row],[Ask Price]]*($AE$2^2))</f>
        <v>28.461055065693216</v>
      </c>
    </row>
    <row r="443" spans="1:32" x14ac:dyDescent="0.25">
      <c r="A443" s="21" t="s">
        <v>932</v>
      </c>
      <c r="B443" s="3" t="s">
        <v>933</v>
      </c>
      <c r="C443" s="3" t="s">
        <v>19</v>
      </c>
      <c r="D443" s="4">
        <v>45471</v>
      </c>
      <c r="E443" s="4">
        <v>47297</v>
      </c>
      <c r="F443" s="3">
        <v>100000</v>
      </c>
      <c r="G443" s="3" t="s">
        <v>20</v>
      </c>
      <c r="H443" s="3">
        <v>102787.95</v>
      </c>
      <c r="I443" s="3" t="s">
        <v>20</v>
      </c>
      <c r="J443" s="3">
        <v>102.78795</v>
      </c>
      <c r="K443" s="3">
        <v>30</v>
      </c>
      <c r="L443" s="5">
        <v>9.1499999999999998E-2</v>
      </c>
      <c r="M443" s="3" t="s">
        <v>21</v>
      </c>
      <c r="N443" s="3">
        <v>1380</v>
      </c>
      <c r="O443" s="6">
        <f>Table1[[#This Row],[Current coupon %]]*Table1[[#This Row],[Face value]]/Table1[[#This Row],[Ask Price]]</f>
        <v>8.9018216629478453E-2</v>
      </c>
      <c r="P443" s="3" t="s">
        <v>97</v>
      </c>
      <c r="Q443" s="3" t="s">
        <v>22</v>
      </c>
      <c r="R443">
        <f t="shared" si="6"/>
        <v>5</v>
      </c>
      <c r="S443" s="22" cm="1">
        <f t="array" ref="S443">_xlfn.IFS(Table1[[#This Row],[Coupon frequency]]="Semi-annual",2,Table1[[#This Row],[Coupon frequency]]="Quarterly",4,Table1[[#This Row],[Coupon frequency]]="Annual",1,Table1[[#This Row],[Coupon frequency]]="Every 4 months",3,Table1[[#This Row],[Coupon frequency]]="Monthly",12)</f>
        <v>1</v>
      </c>
      <c r="T443">
        <f>Table1[[#This Row],[Term to Maturity (Years)]]*Table1[[#This Row],[Coupon Frequency2]]</f>
        <v>5</v>
      </c>
      <c r="U443">
        <f>Table1[[#This Row],[Face value]]*Table1[[#This Row],[Current coupon %]]/Table1[[#This Row],[Coupon Frequency2]]</f>
        <v>9150</v>
      </c>
      <c r="V443" s="23">
        <f>RATE(Table1[[#This Row],[Total No. of Coupons]],Table1[[#This Row],[Coupon Amount]],-Table1[[#This Row],[Ask Price]],Table1[[#This Row],[Face value]])</f>
        <v>8.4435577008767526E-2</v>
      </c>
      <c r="W443" s="24">
        <f>Table1[[#This Row],[IRR]]*Table1[[#This Row],[Coupon Frequency2]]</f>
        <v>8.4435577008767526E-2</v>
      </c>
      <c r="X443" s="25" cm="1">
        <f t="array" ref="X4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3" s="26">
        <f>DURATION(Table1[[#This Row],[Issue date]],Table1[[#This Row],[Maturity date]],Table1[[#This Row],[Current coupon %]],Table1[[#This Row],[Yield (Annualised)]],Table1[[#This Row],[Coupon Frequency2]])</f>
        <v>4.2405932391056957</v>
      </c>
      <c r="Z443" s="26">
        <f>Table1[[#This Row],[Macaulay Duration in Years]]/(1+Table1[[#This Row],[IRR]])</f>
        <v>3.9104150850552659</v>
      </c>
      <c r="AA443" s="27">
        <f>VLOOKUP(Table1[[#This Row],[Yield Cluster]],'[1]Cluster Details'!$B$3:$C$16,2,0)</f>
        <v>7.8548801574189142E-2</v>
      </c>
      <c r="AB443" s="28">
        <f>PRICE(Table1[[#This Row],[Issue date]],Table1[[#This Row],[Maturity date]],Table1[[#This Row],[Current coupon %]],Table1[[#This Row],[Average Cluster Yield]],100,Table1[[#This Row],[Coupon Frequency2]])*Table1[[#This Row],[Face value]]/100</f>
        <v>105190.87677102332</v>
      </c>
      <c r="AC443" s="27" t="str">
        <f>IF(Table1[[#This Row],[Ask Price]]&gt;Table1[[#This Row],[Calculated Bond Price]],"Rich","Cheap")</f>
        <v>Cheap</v>
      </c>
      <c r="AD443" s="28">
        <f>PRICE(Table1[[#This Row],[Issue date]],Table1[[#This Row],[Maturity date]],Table1[[#This Row],[Current coupon %]],Table1[[#This Row],[Yield (Annualised)]]+$AE$2,100,Table1[[#This Row],[Coupon Frequency2]])*Table1[[#This Row],[Face value]]/100</f>
        <v>98871.184064748173</v>
      </c>
      <c r="AE443" s="28">
        <f>PRICE(Table1[[#This Row],[Issue date]],Table1[[#This Row],[Maturity date]],Table1[[#This Row],[Current coupon %]],Table1[[#This Row],[Yield (Annualised)]]-$AE$2,100,Table1[[#This Row],[Coupon Frequency2]])*Table1[[#This Row],[Face value]]/100</f>
        <v>106914.43321678889</v>
      </c>
      <c r="AF443" s="28">
        <f>(Table1[[#This Row],[P (+ shock)]]+Table1[[#This Row],[P (-shock)]]-2*Table1[[#This Row],[Ask Price]])/(2*Table1[[#This Row],[Ask Price]]*($AE$2^2))</f>
        <v>10.201452676946678</v>
      </c>
    </row>
    <row r="444" spans="1:32" x14ac:dyDescent="0.25">
      <c r="A444" s="21" t="s">
        <v>934</v>
      </c>
      <c r="B444" s="3" t="s">
        <v>935</v>
      </c>
      <c r="C444" s="3" t="s">
        <v>19</v>
      </c>
      <c r="D444" s="4">
        <v>42940</v>
      </c>
      <c r="E444" s="4">
        <v>48419</v>
      </c>
      <c r="F444" s="3">
        <v>1000</v>
      </c>
      <c r="G444" s="3" t="s">
        <v>20</v>
      </c>
      <c r="H444" s="3">
        <v>893.20001000000002</v>
      </c>
      <c r="I444" s="3" t="s">
        <v>20</v>
      </c>
      <c r="J444" s="3">
        <v>89.320001000000005</v>
      </c>
      <c r="K444" s="3">
        <v>400</v>
      </c>
      <c r="L444" s="5">
        <v>7.9500000000000001E-2</v>
      </c>
      <c r="M444" s="3" t="s">
        <v>21</v>
      </c>
      <c r="N444" s="3">
        <v>2502</v>
      </c>
      <c r="O444" s="6">
        <f>Table1[[#This Row],[Current coupon %]]*Table1[[#This Row],[Face value]]/Table1[[#This Row],[Ask Price]]</f>
        <v>8.9005820767959903E-2</v>
      </c>
      <c r="P444" s="3"/>
      <c r="Q444" s="3" t="s">
        <v>22</v>
      </c>
      <c r="R444">
        <f t="shared" si="6"/>
        <v>15</v>
      </c>
      <c r="S444" s="22" cm="1">
        <f t="array" ref="S444">_xlfn.IFS(Table1[[#This Row],[Coupon frequency]]="Semi-annual",2,Table1[[#This Row],[Coupon frequency]]="Quarterly",4,Table1[[#This Row],[Coupon frequency]]="Annual",1,Table1[[#This Row],[Coupon frequency]]="Every 4 months",3,Table1[[#This Row],[Coupon frequency]]="Monthly",12)</f>
        <v>1</v>
      </c>
      <c r="T444">
        <f>Table1[[#This Row],[Term to Maturity (Years)]]*Table1[[#This Row],[Coupon Frequency2]]</f>
        <v>15</v>
      </c>
      <c r="U444">
        <f>Table1[[#This Row],[Face value]]*Table1[[#This Row],[Current coupon %]]/Table1[[#This Row],[Coupon Frequency2]]</f>
        <v>79.5</v>
      </c>
      <c r="V444" s="23">
        <f>RATE(Table1[[#This Row],[Total No. of Coupons]],Table1[[#This Row],[Coupon Amount]],-Table1[[#This Row],[Ask Price]],Table1[[#This Row],[Face value]])</f>
        <v>9.2983742081054407E-2</v>
      </c>
      <c r="W444" s="24">
        <f>Table1[[#This Row],[IRR]]*Table1[[#This Row],[Coupon Frequency2]]</f>
        <v>9.2983742081054407E-2</v>
      </c>
      <c r="X444" s="25" cm="1">
        <f t="array" ref="X4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4" s="26">
        <f>DURATION(Table1[[#This Row],[Issue date]],Table1[[#This Row],[Maturity date]],Table1[[#This Row],[Current coupon %]],Table1[[#This Row],[Yield (Annualised)]],Table1[[#This Row],[Coupon Frequency2]])</f>
        <v>8.9284934875749116</v>
      </c>
      <c r="Z444" s="26">
        <f>Table1[[#This Row],[Macaulay Duration in Years]]/(1+Table1[[#This Row],[IRR]])</f>
        <v>8.1689170147901287</v>
      </c>
      <c r="AA444" s="27">
        <f>VLOOKUP(Table1[[#This Row],[Yield Cluster]],'[1]Cluster Details'!$B$3:$C$16,2,0)</f>
        <v>7.8548801574189142E-2</v>
      </c>
      <c r="AB444" s="28">
        <f>PRICE(Table1[[#This Row],[Issue date]],Table1[[#This Row],[Maturity date]],Table1[[#This Row],[Current coupon %]],Table1[[#This Row],[Average Cluster Yield]],100,Table1[[#This Row],[Coupon Frequency2]])*Table1[[#This Row],[Face value]]/100</f>
        <v>1008.2144061663149</v>
      </c>
      <c r="AC444" s="27" t="str">
        <f>IF(Table1[[#This Row],[Ask Price]]&gt;Table1[[#This Row],[Calculated Bond Price]],"Rich","Cheap")</f>
        <v>Cheap</v>
      </c>
      <c r="AD444" s="28">
        <f>PRICE(Table1[[#This Row],[Issue date]],Table1[[#This Row],[Maturity date]],Table1[[#This Row],[Current coupon %]],Table1[[#This Row],[Yield (Annualised)]]+$AE$2,100,Table1[[#This Row],[Coupon Frequency2]])*Table1[[#This Row],[Face value]]/100</f>
        <v>824.38228015234779</v>
      </c>
      <c r="AE444" s="28">
        <f>PRICE(Table1[[#This Row],[Issue date]],Table1[[#This Row],[Maturity date]],Table1[[#This Row],[Current coupon %]],Table1[[#This Row],[Yield (Annualised)]]-$AE$2,100,Table1[[#This Row],[Coupon Frequency2]])*Table1[[#This Row],[Face value]]/100</f>
        <v>970.71664740987671</v>
      </c>
      <c r="AF444" s="28">
        <f>(Table1[[#This Row],[P (+ shock)]]+Table1[[#This Row],[P (-shock)]]-2*Table1[[#This Row],[Ask Price]])/(2*Table1[[#This Row],[Ask Price]]*($AE$2^2))</f>
        <v>48.695182852856078</v>
      </c>
    </row>
    <row r="445" spans="1:32" x14ac:dyDescent="0.25">
      <c r="A445" s="21" t="s">
        <v>936</v>
      </c>
      <c r="B445" s="3" t="s">
        <v>937</v>
      </c>
      <c r="C445" s="3" t="s">
        <v>19</v>
      </c>
      <c r="D445" s="4">
        <v>45009</v>
      </c>
      <c r="E445" s="4">
        <v>47207</v>
      </c>
      <c r="F445" s="3">
        <v>100000</v>
      </c>
      <c r="G445" s="3" t="s">
        <v>20</v>
      </c>
      <c r="H445" s="3">
        <v>100000</v>
      </c>
      <c r="I445" s="3" t="s">
        <v>20</v>
      </c>
      <c r="J445" s="3">
        <v>100</v>
      </c>
      <c r="K445" s="3">
        <v>2</v>
      </c>
      <c r="L445" s="5">
        <v>8.900000000000001E-2</v>
      </c>
      <c r="M445" s="3" t="s">
        <v>44</v>
      </c>
      <c r="N445" s="3">
        <v>1290</v>
      </c>
      <c r="O445" s="6">
        <f>Table1[[#This Row],[Current coupon %]]*Table1[[#This Row],[Face value]]/Table1[[#This Row],[Ask Price]]</f>
        <v>8.9000000000000024E-2</v>
      </c>
      <c r="P445" s="3"/>
      <c r="Q445" s="3" t="s">
        <v>22</v>
      </c>
      <c r="R445">
        <f t="shared" si="6"/>
        <v>6</v>
      </c>
      <c r="S445" s="22" cm="1">
        <f t="array" ref="S445">_xlfn.IFS(Table1[[#This Row],[Coupon frequency]]="Semi-annual",2,Table1[[#This Row],[Coupon frequency]]="Quarterly",4,Table1[[#This Row],[Coupon frequency]]="Annual",1,Table1[[#This Row],[Coupon frequency]]="Every 4 months",3,Table1[[#This Row],[Coupon frequency]]="Monthly",12)</f>
        <v>4</v>
      </c>
      <c r="T445">
        <f>Table1[[#This Row],[Term to Maturity (Years)]]*Table1[[#This Row],[Coupon Frequency2]]</f>
        <v>24</v>
      </c>
      <c r="U445">
        <f>Table1[[#This Row],[Face value]]*Table1[[#This Row],[Current coupon %]]/Table1[[#This Row],[Coupon Frequency2]]</f>
        <v>2225.0000000000005</v>
      </c>
      <c r="V445" s="23">
        <f>RATE(Table1[[#This Row],[Total No. of Coupons]],Table1[[#This Row],[Coupon Amount]],-Table1[[#This Row],[Ask Price]],Table1[[#This Row],[Face value]])</f>
        <v>2.2250000000000009E-2</v>
      </c>
      <c r="W445" s="24">
        <f>Table1[[#This Row],[IRR]]*Table1[[#This Row],[Coupon Frequency2]]</f>
        <v>8.9000000000000037E-2</v>
      </c>
      <c r="X445" s="25" cm="1">
        <f t="array" ref="X4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5" s="26">
        <f>DURATION(Table1[[#This Row],[Issue date]],Table1[[#This Row],[Maturity date]],Table1[[#This Row],[Current coupon %]],Table1[[#This Row],[Yield (Annualised)]],Table1[[#This Row],[Coupon Frequency2]])</f>
        <v>4.626809374674405</v>
      </c>
      <c r="Z445" s="26">
        <f>Table1[[#This Row],[Macaulay Duration in Years]]/(1+Table1[[#This Row],[IRR]])</f>
        <v>4.5261035702366392</v>
      </c>
      <c r="AA445" s="27">
        <f>VLOOKUP(Table1[[#This Row],[Yield Cluster]],'[1]Cluster Details'!$B$3:$C$16,2,0)</f>
        <v>7.8548801574189142E-2</v>
      </c>
      <c r="AB445" s="28">
        <f>PRICE(Table1[[#This Row],[Issue date]],Table1[[#This Row],[Maturity date]],Table1[[#This Row],[Current coupon %]],Table1[[#This Row],[Average Cluster Yield]],100,Table1[[#This Row],[Coupon Frequency2]])*Table1[[#This Row],[Face value]]/100</f>
        <v>104971.65976917958</v>
      </c>
      <c r="AC445" s="27" t="str">
        <f>IF(Table1[[#This Row],[Ask Price]]&gt;Table1[[#This Row],[Calculated Bond Price]],"Rich","Cheap")</f>
        <v>Cheap</v>
      </c>
      <c r="AD445" s="28">
        <f>PRICE(Table1[[#This Row],[Issue date]],Table1[[#This Row],[Maturity date]],Table1[[#This Row],[Current coupon %]],Table1[[#This Row],[Yield (Annualised)]]+$AE$2,100,Table1[[#This Row],[Coupon Frequency2]])*Table1[[#This Row],[Face value]]/100</f>
        <v>95505.532894794116</v>
      </c>
      <c r="AE445" s="28">
        <f>PRICE(Table1[[#This Row],[Issue date]],Table1[[#This Row],[Maturity date]],Table1[[#This Row],[Current coupon %]],Table1[[#This Row],[Yield (Annualised)]]-$AE$2,100,Table1[[#This Row],[Coupon Frequency2]])*Table1[[#This Row],[Face value]]/100</f>
        <v>104750.85719010305</v>
      </c>
      <c r="AF445" s="28">
        <f>(Table1[[#This Row],[P (+ shock)]]+Table1[[#This Row],[P (-shock)]]-2*Table1[[#This Row],[Ask Price]])/(2*Table1[[#This Row],[Ask Price]]*($AE$2^2))</f>
        <v>12.819504244858399</v>
      </c>
    </row>
    <row r="446" spans="1:32" x14ac:dyDescent="0.25">
      <c r="A446" s="21" t="s">
        <v>938</v>
      </c>
      <c r="B446" s="3" t="s">
        <v>939</v>
      </c>
      <c r="C446" s="3" t="s">
        <v>19</v>
      </c>
      <c r="D446" s="4">
        <v>45768</v>
      </c>
      <c r="E446" s="4">
        <v>46498</v>
      </c>
      <c r="F446" s="3">
        <v>1000</v>
      </c>
      <c r="G446" s="3" t="s">
        <v>20</v>
      </c>
      <c r="H446" s="3">
        <v>1045</v>
      </c>
      <c r="I446" s="3" t="s">
        <v>20</v>
      </c>
      <c r="J446" s="3">
        <v>104.5</v>
      </c>
      <c r="K446" s="3">
        <v>255</v>
      </c>
      <c r="L446" s="5">
        <v>9.3000000000000013E-2</v>
      </c>
      <c r="M446" s="3" t="s">
        <v>21</v>
      </c>
      <c r="N446" s="3">
        <v>581</v>
      </c>
      <c r="O446" s="6">
        <f>Table1[[#This Row],[Current coupon %]]*Table1[[#This Row],[Face value]]/Table1[[#This Row],[Ask Price]]</f>
        <v>8.8995215311004794E-2</v>
      </c>
      <c r="P446" s="3" t="s">
        <v>25</v>
      </c>
      <c r="Q446" s="3" t="s">
        <v>22</v>
      </c>
      <c r="R446">
        <f t="shared" si="6"/>
        <v>2</v>
      </c>
      <c r="S446" s="22" cm="1">
        <f t="array" ref="S446">_xlfn.IFS(Table1[[#This Row],[Coupon frequency]]="Semi-annual",2,Table1[[#This Row],[Coupon frequency]]="Quarterly",4,Table1[[#This Row],[Coupon frequency]]="Annual",1,Table1[[#This Row],[Coupon frequency]]="Every 4 months",3,Table1[[#This Row],[Coupon frequency]]="Monthly",12)</f>
        <v>1</v>
      </c>
      <c r="T446">
        <f>Table1[[#This Row],[Term to Maturity (Years)]]*Table1[[#This Row],[Coupon Frequency2]]</f>
        <v>2</v>
      </c>
      <c r="U446">
        <f>Table1[[#This Row],[Face value]]*Table1[[#This Row],[Current coupon %]]/Table1[[#This Row],[Coupon Frequency2]]</f>
        <v>93.000000000000014</v>
      </c>
      <c r="V446" s="23">
        <f>RATE(Table1[[#This Row],[Total No. of Coupons]],Table1[[#This Row],[Coupon Amount]],-Table1[[#This Row],[Ask Price]],Table1[[#This Row],[Face value]])</f>
        <v>6.8173851123692258E-2</v>
      </c>
      <c r="W446" s="24">
        <f>Table1[[#This Row],[IRR]]*Table1[[#This Row],[Coupon Frequency2]]</f>
        <v>6.8173851123692258E-2</v>
      </c>
      <c r="X446" s="25" cm="1">
        <f t="array" ref="X4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6" s="26">
        <f>DURATION(Table1[[#This Row],[Issue date]],Table1[[#This Row],[Maturity date]],Table1[[#This Row],[Current coupon %]],Table1[[#This Row],[Yield (Annualised)]],Table1[[#This Row],[Coupon Frequency2]])</f>
        <v>1.9166847089381702</v>
      </c>
      <c r="Z446" s="26">
        <f>Table1[[#This Row],[Macaulay Duration in Years]]/(1+Table1[[#This Row],[IRR]])</f>
        <v>1.794356515020346</v>
      </c>
      <c r="AA446" s="27">
        <f>VLOOKUP(Table1[[#This Row],[Yield Cluster]],'[1]Cluster Details'!$B$3:$C$16,2,0)</f>
        <v>7.8548801574189142E-2</v>
      </c>
      <c r="AB446" s="28">
        <f>PRICE(Table1[[#This Row],[Issue date]],Table1[[#This Row],[Maturity date]],Table1[[#This Row],[Current coupon %]],Table1[[#This Row],[Average Cluster Yield]],100,Table1[[#This Row],[Coupon Frequency2]])*Table1[[#This Row],[Face value]]/100</f>
        <v>1025.8216796399572</v>
      </c>
      <c r="AC446" s="27" t="str">
        <f>IF(Table1[[#This Row],[Ask Price]]&gt;Table1[[#This Row],[Calculated Bond Price]],"Rich","Cheap")</f>
        <v>Rich</v>
      </c>
      <c r="AD446" s="28">
        <f>PRICE(Table1[[#This Row],[Issue date]],Table1[[#This Row],[Maturity date]],Table1[[#This Row],[Current coupon %]],Table1[[#This Row],[Yield (Annualised)]]+$AE$2,100,Table1[[#This Row],[Coupon Frequency2]])*Table1[[#This Row],[Face value]]/100</f>
        <v>1026.5052950661866</v>
      </c>
      <c r="AE446" s="28">
        <f>PRICE(Table1[[#This Row],[Issue date]],Table1[[#This Row],[Maturity date]],Table1[[#This Row],[Current coupon %]],Table1[[#This Row],[Yield (Annualised)]]-$AE$2,100,Table1[[#This Row],[Coupon Frequency2]])*Table1[[#This Row],[Face value]]/100</f>
        <v>1064.0137777655916</v>
      </c>
      <c r="AF446" s="28">
        <f>(Table1[[#This Row],[P (+ shock)]]+Table1[[#This Row],[P (-shock)]]-2*Table1[[#This Row],[Ask Price]])/(2*Table1[[#This Row],[Ask Price]]*($AE$2^2))</f>
        <v>2.4836020659255049</v>
      </c>
    </row>
    <row r="447" spans="1:32" x14ac:dyDescent="0.25">
      <c r="A447" s="21" t="s">
        <v>940</v>
      </c>
      <c r="B447" s="3" t="s">
        <v>941</v>
      </c>
      <c r="C447" s="3" t="s">
        <v>19</v>
      </c>
      <c r="D447" s="4">
        <v>42598</v>
      </c>
      <c r="E447" s="4">
        <v>46251</v>
      </c>
      <c r="F447" s="3">
        <v>1000000</v>
      </c>
      <c r="G447" s="3" t="s">
        <v>20</v>
      </c>
      <c r="H447" s="3">
        <v>1022987</v>
      </c>
      <c r="I447" s="3" t="s">
        <v>20</v>
      </c>
      <c r="J447" s="3">
        <v>102.2987</v>
      </c>
      <c r="K447" s="3">
        <v>1</v>
      </c>
      <c r="L447" s="5">
        <v>9.0999999999999998E-2</v>
      </c>
      <c r="M447" s="3" t="s">
        <v>21</v>
      </c>
      <c r="N447" s="3">
        <v>334</v>
      </c>
      <c r="O447" s="6">
        <f>Table1[[#This Row],[Current coupon %]]*Table1[[#This Row],[Face value]]/Table1[[#This Row],[Ask Price]]</f>
        <v>8.895518711381474E-2</v>
      </c>
      <c r="P447" s="3"/>
      <c r="Q447" s="3" t="s">
        <v>22</v>
      </c>
      <c r="R447">
        <f t="shared" si="6"/>
        <v>10</v>
      </c>
      <c r="S447" s="22" cm="1">
        <f t="array" ref="S447">_xlfn.IFS(Table1[[#This Row],[Coupon frequency]]="Semi-annual",2,Table1[[#This Row],[Coupon frequency]]="Quarterly",4,Table1[[#This Row],[Coupon frequency]]="Annual",1,Table1[[#This Row],[Coupon frequency]]="Every 4 months",3,Table1[[#This Row],[Coupon frequency]]="Monthly",12)</f>
        <v>1</v>
      </c>
      <c r="T447">
        <f>Table1[[#This Row],[Term to Maturity (Years)]]*Table1[[#This Row],[Coupon Frequency2]]</f>
        <v>10</v>
      </c>
      <c r="U447">
        <f>Table1[[#This Row],[Face value]]*Table1[[#This Row],[Current coupon %]]/Table1[[#This Row],[Coupon Frequency2]]</f>
        <v>91000</v>
      </c>
      <c r="V447" s="23">
        <f>RATE(Table1[[#This Row],[Total No. of Coupons]],Table1[[#This Row],[Coupon Amount]],-Table1[[#This Row],[Ask Price]],Table1[[#This Row],[Face value]])</f>
        <v>8.7458138024251508E-2</v>
      </c>
      <c r="W447" s="24">
        <f>Table1[[#This Row],[IRR]]*Table1[[#This Row],[Coupon Frequency2]]</f>
        <v>8.7458138024251508E-2</v>
      </c>
      <c r="X447" s="25" cm="1">
        <f t="array" ref="X4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7" s="26">
        <f>DURATION(Table1[[#This Row],[Issue date]],Table1[[#This Row],[Maturity date]],Table1[[#This Row],[Current coupon %]],Table1[[#This Row],[Yield (Annualised)]],Table1[[#This Row],[Coupon Frequency2]])</f>
        <v>6.4376945315868417</v>
      </c>
      <c r="Z447" s="26">
        <f>Table1[[#This Row],[Macaulay Duration in Years]]/(1+Table1[[#This Row],[IRR]])</f>
        <v>5.9199469905877651</v>
      </c>
      <c r="AA447" s="27">
        <f>VLOOKUP(Table1[[#This Row],[Yield Cluster]],'[1]Cluster Details'!$B$3:$C$16,2,0)</f>
        <v>7.8548801574189142E-2</v>
      </c>
      <c r="AB447" s="28">
        <f>PRICE(Table1[[#This Row],[Issue date]],Table1[[#This Row],[Maturity date]],Table1[[#This Row],[Current coupon %]],Table1[[#This Row],[Average Cluster Yield]],100,Table1[[#This Row],[Coupon Frequency2]])*Table1[[#This Row],[Face value]]/100</f>
        <v>1084104.1823769084</v>
      </c>
      <c r="AC447" s="27" t="str">
        <f>IF(Table1[[#This Row],[Ask Price]]&gt;Table1[[#This Row],[Calculated Bond Price]],"Rich","Cheap")</f>
        <v>Cheap</v>
      </c>
      <c r="AD447" s="28">
        <f>PRICE(Table1[[#This Row],[Issue date]],Table1[[#This Row],[Maturity date]],Table1[[#This Row],[Current coupon %]],Table1[[#This Row],[Yield (Annualised)]]+$AE$2,100,Table1[[#This Row],[Coupon Frequency2]])*Table1[[#This Row],[Face value]]/100</f>
        <v>959861.84069640667</v>
      </c>
      <c r="AE447" s="28">
        <f>PRICE(Table1[[#This Row],[Issue date]],Table1[[#This Row],[Maturity date]],Table1[[#This Row],[Current coupon %]],Table1[[#This Row],[Yield (Annualised)]]-$AE$2,100,Table1[[#This Row],[Coupon Frequency2]])*Table1[[#This Row],[Face value]]/100</f>
        <v>1091925.7297003022</v>
      </c>
      <c r="AF447" s="28">
        <f>(Table1[[#This Row],[P (+ shock)]]+Table1[[#This Row],[P (-shock)]]-2*Table1[[#This Row],[Ask Price]])/(2*Table1[[#This Row],[Ask Price]]*($AE$2^2))</f>
        <v>28.414683650470582</v>
      </c>
    </row>
    <row r="448" spans="1:32" x14ac:dyDescent="0.25">
      <c r="A448" s="21" t="s">
        <v>942</v>
      </c>
      <c r="B448" s="3" t="s">
        <v>943</v>
      </c>
      <c r="C448" s="3" t="s">
        <v>19</v>
      </c>
      <c r="D448" s="4">
        <v>45009</v>
      </c>
      <c r="E448" s="4">
        <v>47571</v>
      </c>
      <c r="F448" s="3">
        <v>100000</v>
      </c>
      <c r="G448" s="3" t="s">
        <v>20</v>
      </c>
      <c r="H448" s="3">
        <v>100073</v>
      </c>
      <c r="I448" s="3" t="s">
        <v>20</v>
      </c>
      <c r="J448" s="3">
        <v>100.07299999999999</v>
      </c>
      <c r="K448" s="3">
        <v>2</v>
      </c>
      <c r="L448" s="5">
        <v>8.900000000000001E-2</v>
      </c>
      <c r="M448" s="3" t="s">
        <v>44</v>
      </c>
      <c r="N448" s="3">
        <v>1654</v>
      </c>
      <c r="O448" s="6">
        <f>Table1[[#This Row],[Current coupon %]]*Table1[[#This Row],[Face value]]/Table1[[#This Row],[Ask Price]]</f>
        <v>8.8935077393502759E-2</v>
      </c>
      <c r="P448" s="3"/>
      <c r="Q448" s="3" t="s">
        <v>22</v>
      </c>
      <c r="R448">
        <f t="shared" si="6"/>
        <v>7</v>
      </c>
      <c r="S448" s="22" cm="1">
        <f t="array" ref="S448">_xlfn.IFS(Table1[[#This Row],[Coupon frequency]]="Semi-annual",2,Table1[[#This Row],[Coupon frequency]]="Quarterly",4,Table1[[#This Row],[Coupon frequency]]="Annual",1,Table1[[#This Row],[Coupon frequency]]="Every 4 months",3,Table1[[#This Row],[Coupon frequency]]="Monthly",12)</f>
        <v>4</v>
      </c>
      <c r="T448">
        <f>Table1[[#This Row],[Term to Maturity (Years)]]*Table1[[#This Row],[Coupon Frequency2]]</f>
        <v>28</v>
      </c>
      <c r="U448">
        <f>Table1[[#This Row],[Face value]]*Table1[[#This Row],[Current coupon %]]/Table1[[#This Row],[Coupon Frequency2]]</f>
        <v>2225.0000000000005</v>
      </c>
      <c r="V448" s="23">
        <f>RATE(Table1[[#This Row],[Total No. of Coupons]],Table1[[#This Row],[Coupon Amount]],-Table1[[#This Row],[Ask Price]],Table1[[#This Row],[Face value]])</f>
        <v>2.2214705494612616E-2</v>
      </c>
      <c r="W448" s="24">
        <f>Table1[[#This Row],[IRR]]*Table1[[#This Row],[Coupon Frequency2]]</f>
        <v>8.8858821978450464E-2</v>
      </c>
      <c r="X448" s="25" cm="1">
        <f t="array" ref="X4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8" s="26">
        <f>DURATION(Table1[[#This Row],[Issue date]],Table1[[#This Row],[Maturity date]],Table1[[#This Row],[Current coupon %]],Table1[[#This Row],[Yield (Annualised)]],Table1[[#This Row],[Coupon Frequency2]])</f>
        <v>5.18312978541009</v>
      </c>
      <c r="Z448" s="26">
        <f>Table1[[#This Row],[Macaulay Duration in Years]]/(1+Table1[[#This Row],[IRR]])</f>
        <v>5.0704903358851219</v>
      </c>
      <c r="AA448" s="27">
        <f>VLOOKUP(Table1[[#This Row],[Yield Cluster]],'[1]Cluster Details'!$B$3:$C$16,2,0)</f>
        <v>7.8548801574189142E-2</v>
      </c>
      <c r="AB448" s="28">
        <f>PRICE(Table1[[#This Row],[Issue date]],Table1[[#This Row],[Maturity date]],Table1[[#This Row],[Current coupon %]],Table1[[#This Row],[Average Cluster Yield]],100,Table1[[#This Row],[Coupon Frequency2]])*Table1[[#This Row],[Face value]]/100</f>
        <v>105593.79003432911</v>
      </c>
      <c r="AC448" s="27" t="str">
        <f>IF(Table1[[#This Row],[Ask Price]]&gt;Table1[[#This Row],[Calculated Bond Price]],"Rich","Cheap")</f>
        <v>Cheap</v>
      </c>
      <c r="AD448" s="28">
        <f>PRICE(Table1[[#This Row],[Issue date]],Table1[[#This Row],[Maturity date]],Table1[[#This Row],[Current coupon %]],Table1[[#This Row],[Yield (Annualised)]]+$AE$2,100,Table1[[#This Row],[Coupon Frequency2]])*Table1[[#This Row],[Face value]]/100</f>
        <v>95053.272581445941</v>
      </c>
      <c r="AE448" s="28">
        <f>PRICE(Table1[[#This Row],[Issue date]],Table1[[#This Row],[Maturity date]],Table1[[#This Row],[Current coupon %]],Table1[[#This Row],[Yield (Annualised)]]-$AE$2,100,Table1[[#This Row],[Coupon Frequency2]])*Table1[[#This Row],[Face value]]/100</f>
        <v>105422.35167241824</v>
      </c>
      <c r="AF448" s="28">
        <f>(Table1[[#This Row],[P (+ shock)]]+Table1[[#This Row],[P (-shock)]]-2*Table1[[#This Row],[Ask Price]])/(2*Table1[[#This Row],[Ask Price]]*($AE$2^2))</f>
        <v>16.469190184373769</v>
      </c>
    </row>
    <row r="449" spans="1:32" x14ac:dyDescent="0.25">
      <c r="A449" s="21" t="s">
        <v>944</v>
      </c>
      <c r="B449" s="3" t="s">
        <v>945</v>
      </c>
      <c r="C449" s="3" t="s">
        <v>19</v>
      </c>
      <c r="D449" s="4">
        <v>45855</v>
      </c>
      <c r="E449" s="4">
        <v>47681</v>
      </c>
      <c r="F449" s="3">
        <v>1000</v>
      </c>
      <c r="G449" s="3" t="s">
        <v>20</v>
      </c>
      <c r="H449" s="3">
        <v>1012</v>
      </c>
      <c r="I449" s="3" t="s">
        <v>20</v>
      </c>
      <c r="J449" s="3">
        <v>101.2</v>
      </c>
      <c r="K449" s="3">
        <v>293</v>
      </c>
      <c r="L449" s="5">
        <v>0.09</v>
      </c>
      <c r="M449" s="3" t="s">
        <v>44</v>
      </c>
      <c r="N449" s="3">
        <v>1764</v>
      </c>
      <c r="O449" s="6">
        <f>Table1[[#This Row],[Current coupon %]]*Table1[[#This Row],[Face value]]/Table1[[#This Row],[Ask Price]]</f>
        <v>8.8932806324110672E-2</v>
      </c>
      <c r="P449" s="3"/>
      <c r="Q449" s="3" t="s">
        <v>22</v>
      </c>
      <c r="R449">
        <f t="shared" si="6"/>
        <v>5</v>
      </c>
      <c r="S449" s="22" cm="1">
        <f t="array" ref="S449">_xlfn.IFS(Table1[[#This Row],[Coupon frequency]]="Semi-annual",2,Table1[[#This Row],[Coupon frequency]]="Quarterly",4,Table1[[#This Row],[Coupon frequency]]="Annual",1,Table1[[#This Row],[Coupon frequency]]="Every 4 months",3,Table1[[#This Row],[Coupon frequency]]="Monthly",12)</f>
        <v>4</v>
      </c>
      <c r="T449">
        <f>Table1[[#This Row],[Term to Maturity (Years)]]*Table1[[#This Row],[Coupon Frequency2]]</f>
        <v>20</v>
      </c>
      <c r="U449">
        <f>Table1[[#This Row],[Face value]]*Table1[[#This Row],[Current coupon %]]/Table1[[#This Row],[Coupon Frequency2]]</f>
        <v>22.5</v>
      </c>
      <c r="V449" s="23">
        <f>RATE(Table1[[#This Row],[Total No. of Coupons]],Table1[[#This Row],[Coupon Amount]],-Table1[[#This Row],[Ask Price]],Table1[[#This Row],[Face value]])</f>
        <v>2.1753641303923158E-2</v>
      </c>
      <c r="W449" s="24">
        <f>Table1[[#This Row],[IRR]]*Table1[[#This Row],[Coupon Frequency2]]</f>
        <v>8.7014565215692632E-2</v>
      </c>
      <c r="X449" s="25" cm="1">
        <f t="array" ref="X4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49" s="26">
        <f>DURATION(Table1[[#This Row],[Issue date]],Table1[[#This Row],[Maturity date]],Table1[[#This Row],[Current coupon %]],Table1[[#This Row],[Yield (Annualised)]],Table1[[#This Row],[Coupon Frequency2]])</f>
        <v>4.0872668748802559</v>
      </c>
      <c r="Z449" s="26">
        <f>Table1[[#This Row],[Macaulay Duration in Years]]/(1+Table1[[#This Row],[IRR]])</f>
        <v>4.0002469378667849</v>
      </c>
      <c r="AA449" s="27">
        <f>VLOOKUP(Table1[[#This Row],[Yield Cluster]],'[1]Cluster Details'!$B$3:$C$16,2,0)</f>
        <v>7.8548801574189142E-2</v>
      </c>
      <c r="AB449" s="28">
        <f>PRICE(Table1[[#This Row],[Issue date]],Table1[[#This Row],[Maturity date]],Table1[[#This Row],[Current coupon %]],Table1[[#This Row],[Average Cluster Yield]],100,Table1[[#This Row],[Coupon Frequency2]])*Table1[[#This Row],[Face value]]/100</f>
        <v>1046.9751818396549</v>
      </c>
      <c r="AC449" s="27" t="str">
        <f>IF(Table1[[#This Row],[Ask Price]]&gt;Table1[[#This Row],[Calculated Bond Price]],"Rich","Cheap")</f>
        <v>Cheap</v>
      </c>
      <c r="AD449" s="28">
        <f>PRICE(Table1[[#This Row],[Issue date]],Table1[[#This Row],[Maturity date]],Table1[[#This Row],[Current coupon %]],Table1[[#This Row],[Yield (Annualised)]]+$AE$2,100,Table1[[#This Row],[Coupon Frequency2]])*Table1[[#This Row],[Face value]]/100</f>
        <v>972.46847216792298</v>
      </c>
      <c r="AE449" s="28">
        <f>PRICE(Table1[[#This Row],[Issue date]],Table1[[#This Row],[Maturity date]],Table1[[#This Row],[Current coupon %]],Table1[[#This Row],[Yield (Annualised)]]-$AE$2,100,Table1[[#This Row],[Coupon Frequency2]])*Table1[[#This Row],[Face value]]/100</f>
        <v>1053.4669427777103</v>
      </c>
      <c r="AF449" s="28">
        <f>(Table1[[#This Row],[P (+ shock)]]+Table1[[#This Row],[P (-shock)]]-2*Table1[[#This Row],[Ask Price]])/(2*Table1[[#This Row],[Ask Price]]*($AE$2^2))</f>
        <v>9.5623268064885547</v>
      </c>
    </row>
    <row r="450" spans="1:32" x14ac:dyDescent="0.25">
      <c r="A450" s="21" t="s">
        <v>946</v>
      </c>
      <c r="B450" s="3" t="s">
        <v>947</v>
      </c>
      <c r="C450" s="3" t="s">
        <v>19</v>
      </c>
      <c r="D450" s="4">
        <v>40954</v>
      </c>
      <c r="E450" s="4">
        <v>46433</v>
      </c>
      <c r="F450" s="3">
        <v>5000</v>
      </c>
      <c r="G450" s="3" t="s">
        <v>20</v>
      </c>
      <c r="H450" s="3">
        <v>5150</v>
      </c>
      <c r="I450" s="3" t="s">
        <v>20</v>
      </c>
      <c r="J450" s="3">
        <v>103</v>
      </c>
      <c r="K450" s="3">
        <v>4</v>
      </c>
      <c r="L450" s="5">
        <v>9.1600000000000001E-2</v>
      </c>
      <c r="M450" s="3" t="s">
        <v>21</v>
      </c>
      <c r="N450" s="3">
        <v>516</v>
      </c>
      <c r="O450" s="6">
        <f>Table1[[#This Row],[Current coupon %]]*Table1[[#This Row],[Face value]]/Table1[[#This Row],[Ask Price]]</f>
        <v>8.893203883495146E-2</v>
      </c>
      <c r="P450" s="3"/>
      <c r="Q450" s="3" t="s">
        <v>22</v>
      </c>
      <c r="R450">
        <f t="shared" si="6"/>
        <v>15</v>
      </c>
      <c r="S450" s="22" cm="1">
        <f t="array" ref="S450">_xlfn.IFS(Table1[[#This Row],[Coupon frequency]]="Semi-annual",2,Table1[[#This Row],[Coupon frequency]]="Quarterly",4,Table1[[#This Row],[Coupon frequency]]="Annual",1,Table1[[#This Row],[Coupon frequency]]="Every 4 months",3,Table1[[#This Row],[Coupon frequency]]="Monthly",12)</f>
        <v>1</v>
      </c>
      <c r="T450">
        <f>Table1[[#This Row],[Term to Maturity (Years)]]*Table1[[#This Row],[Coupon Frequency2]]</f>
        <v>15</v>
      </c>
      <c r="U450">
        <f>Table1[[#This Row],[Face value]]*Table1[[#This Row],[Current coupon %]]/Table1[[#This Row],[Coupon Frequency2]]</f>
        <v>458</v>
      </c>
      <c r="V450" s="23">
        <f>RATE(Table1[[#This Row],[Total No. of Coupons]],Table1[[#This Row],[Coupon Amount]],-Table1[[#This Row],[Ask Price]],Table1[[#This Row],[Face value]])</f>
        <v>8.7923730468522102E-2</v>
      </c>
      <c r="W450" s="24">
        <f>Table1[[#This Row],[IRR]]*Table1[[#This Row],[Coupon Frequency2]]</f>
        <v>8.7923730468522102E-2</v>
      </c>
      <c r="X450" s="25" cm="1">
        <f t="array" ref="X4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0" s="26">
        <f>DURATION(Table1[[#This Row],[Issue date]],Table1[[#This Row],[Maturity date]],Table1[[#This Row],[Current coupon %]],Table1[[#This Row],[Yield (Annualised)]],Table1[[#This Row],[Coupon Frequency2]])</f>
        <v>8.807735472504616</v>
      </c>
      <c r="Z450" s="26">
        <f>Table1[[#This Row],[Macaulay Duration in Years]]/(1+Table1[[#This Row],[IRR]])</f>
        <v>8.0959126323235004</v>
      </c>
      <c r="AA450" s="27">
        <f>VLOOKUP(Table1[[#This Row],[Yield Cluster]],'[1]Cluster Details'!$B$3:$C$16,2,0)</f>
        <v>7.8548801574189142E-2</v>
      </c>
      <c r="AB450" s="28">
        <f>PRICE(Table1[[#This Row],[Issue date]],Table1[[#This Row],[Maturity date]],Table1[[#This Row],[Current coupon %]],Table1[[#This Row],[Average Cluster Yield]],100,Table1[[#This Row],[Coupon Frequency2]])*Table1[[#This Row],[Face value]]/100</f>
        <v>5563.5409075418665</v>
      </c>
      <c r="AC450" s="27" t="str">
        <f>IF(Table1[[#This Row],[Ask Price]]&gt;Table1[[#This Row],[Calculated Bond Price]],"Rich","Cheap")</f>
        <v>Cheap</v>
      </c>
      <c r="AD450" s="28">
        <f>PRICE(Table1[[#This Row],[Issue date]],Table1[[#This Row],[Maturity date]],Table1[[#This Row],[Current coupon %]],Table1[[#This Row],[Yield (Annualised)]]+$AE$2,100,Table1[[#This Row],[Coupon Frequency2]])*Table1[[#This Row],[Face value]]/100</f>
        <v>4756.6287481189702</v>
      </c>
      <c r="AE450" s="28">
        <f>PRICE(Table1[[#This Row],[Issue date]],Table1[[#This Row],[Maturity date]],Table1[[#This Row],[Current coupon %]],Table1[[#This Row],[Yield (Annualised)]]-$AE$2,100,Table1[[#This Row],[Coupon Frequency2]])*Table1[[#This Row],[Face value]]/100</f>
        <v>5592.8027098553812</v>
      </c>
      <c r="AF450" s="28">
        <f>(Table1[[#This Row],[P (+ shock)]]+Table1[[#This Row],[P (-shock)]]-2*Table1[[#This Row],[Ask Price]])/(2*Table1[[#This Row],[Ask Price]]*($AE$2^2))</f>
        <v>47.991706771214915</v>
      </c>
    </row>
    <row r="451" spans="1:32" x14ac:dyDescent="0.25">
      <c r="A451" s="21" t="s">
        <v>948</v>
      </c>
      <c r="B451" s="3" t="s">
        <v>949</v>
      </c>
      <c r="C451" s="3" t="s">
        <v>19</v>
      </c>
      <c r="D451" s="4">
        <v>45364</v>
      </c>
      <c r="E451" s="4">
        <v>48286</v>
      </c>
      <c r="F451" s="3">
        <v>100000</v>
      </c>
      <c r="G451" s="3" t="s">
        <v>20</v>
      </c>
      <c r="H451" s="3">
        <v>100000</v>
      </c>
      <c r="I451" s="3" t="s">
        <v>20</v>
      </c>
      <c r="J451" s="3">
        <v>100</v>
      </c>
      <c r="K451" s="3">
        <v>1</v>
      </c>
      <c r="L451" s="5">
        <v>8.8900000000000007E-2</v>
      </c>
      <c r="M451" s="3" t="s">
        <v>44</v>
      </c>
      <c r="N451" s="3">
        <v>2369</v>
      </c>
      <c r="O451" s="6">
        <f>Table1[[#This Row],[Current coupon %]]*Table1[[#This Row],[Face value]]/Table1[[#This Row],[Ask Price]]</f>
        <v>8.8900000000000007E-2</v>
      </c>
      <c r="P451" s="3"/>
      <c r="Q451" s="3" t="s">
        <v>22</v>
      </c>
      <c r="R451">
        <f t="shared" si="6"/>
        <v>8</v>
      </c>
      <c r="S451" s="22" cm="1">
        <f t="array" ref="S451">_xlfn.IFS(Table1[[#This Row],[Coupon frequency]]="Semi-annual",2,Table1[[#This Row],[Coupon frequency]]="Quarterly",4,Table1[[#This Row],[Coupon frequency]]="Annual",1,Table1[[#This Row],[Coupon frequency]]="Every 4 months",3,Table1[[#This Row],[Coupon frequency]]="Monthly",12)</f>
        <v>4</v>
      </c>
      <c r="T451">
        <f>Table1[[#This Row],[Term to Maturity (Years)]]*Table1[[#This Row],[Coupon Frequency2]]</f>
        <v>32</v>
      </c>
      <c r="U451">
        <f>Table1[[#This Row],[Face value]]*Table1[[#This Row],[Current coupon %]]/Table1[[#This Row],[Coupon Frequency2]]</f>
        <v>2222.5</v>
      </c>
      <c r="V451" s="23">
        <f>RATE(Table1[[#This Row],[Total No. of Coupons]],Table1[[#This Row],[Coupon Amount]],-Table1[[#This Row],[Ask Price]],Table1[[#This Row],[Face value]])</f>
        <v>2.2225000000000002E-2</v>
      </c>
      <c r="W451" s="24">
        <f>Table1[[#This Row],[IRR]]*Table1[[#This Row],[Coupon Frequency2]]</f>
        <v>8.8900000000000007E-2</v>
      </c>
      <c r="X451" s="25" cm="1">
        <f t="array" ref="X4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1" s="26">
        <f>DURATION(Table1[[#This Row],[Issue date]],Table1[[#This Row],[Maturity date]],Table1[[#This Row],[Current coupon %]],Table1[[#This Row],[Yield (Annualised)]],Table1[[#This Row],[Coupon Frequency2]])</f>
        <v>5.8080104374059562</v>
      </c>
      <c r="Z451" s="26">
        <f>Table1[[#This Row],[Macaulay Duration in Years]]/(1+Table1[[#This Row],[IRR]])</f>
        <v>5.6817339014463126</v>
      </c>
      <c r="AA451" s="27">
        <f>VLOOKUP(Table1[[#This Row],[Yield Cluster]],'[1]Cluster Details'!$B$3:$C$16,2,0)</f>
        <v>7.8548801574189142E-2</v>
      </c>
      <c r="AB451" s="28">
        <f>PRICE(Table1[[#This Row],[Issue date]],Table1[[#This Row],[Maturity date]],Table1[[#This Row],[Current coupon %]],Table1[[#This Row],[Average Cluster Yield]],100,Table1[[#This Row],[Coupon Frequency2]])*Table1[[#This Row],[Face value]]/100</f>
        <v>106105.27698032769</v>
      </c>
      <c r="AC451" s="27" t="str">
        <f>IF(Table1[[#This Row],[Ask Price]]&gt;Table1[[#This Row],[Calculated Bond Price]],"Rich","Cheap")</f>
        <v>Cheap</v>
      </c>
      <c r="AD451" s="28">
        <f>PRICE(Table1[[#This Row],[Issue date]],Table1[[#This Row],[Maturity date]],Table1[[#This Row],[Current coupon %]],Table1[[#This Row],[Yield (Annualised)]]+$AE$2,100,Table1[[#This Row],[Coupon Frequency2]])*Table1[[#This Row],[Face value]]/100</f>
        <v>94516.518056337183</v>
      </c>
      <c r="AE451" s="28">
        <f>PRICE(Table1[[#This Row],[Issue date]],Table1[[#This Row],[Maturity date]],Table1[[#This Row],[Current coupon %]],Table1[[#This Row],[Yield (Annualised)]]-$AE$2,100,Table1[[#This Row],[Coupon Frequency2]])*Table1[[#This Row],[Face value]]/100</f>
        <v>105890.59893368978</v>
      </c>
      <c r="AF451" s="28">
        <f>(Table1[[#This Row],[P (+ shock)]]+Table1[[#This Row],[P (-shock)]]-2*Table1[[#This Row],[Ask Price]])/(2*Table1[[#This Row],[Ask Price]]*($AE$2^2))</f>
        <v>20.355849501347983</v>
      </c>
    </row>
    <row r="452" spans="1:32" x14ac:dyDescent="0.25">
      <c r="A452" s="21" t="s">
        <v>950</v>
      </c>
      <c r="B452" s="3" t="s">
        <v>951</v>
      </c>
      <c r="C452" s="3" t="s">
        <v>19</v>
      </c>
      <c r="D452" s="4">
        <v>44463</v>
      </c>
      <c r="E452" s="4">
        <v>46289</v>
      </c>
      <c r="F452" s="3">
        <v>1000</v>
      </c>
      <c r="G452" s="3" t="s">
        <v>20</v>
      </c>
      <c r="H452" s="3">
        <v>1040.5999999999999</v>
      </c>
      <c r="I452" s="3" t="s">
        <v>20</v>
      </c>
      <c r="J452" s="3">
        <v>104.06</v>
      </c>
      <c r="K452" s="3">
        <v>27</v>
      </c>
      <c r="L452" s="5">
        <v>9.2499999999999999E-2</v>
      </c>
      <c r="M452" s="3" t="s">
        <v>21</v>
      </c>
      <c r="N452" s="3">
        <v>372</v>
      </c>
      <c r="O452" s="6">
        <f>Table1[[#This Row],[Current coupon %]]*Table1[[#This Row],[Face value]]/Table1[[#This Row],[Ask Price]]</f>
        <v>8.8891024408994823E-2</v>
      </c>
      <c r="P452" s="3" t="s">
        <v>25</v>
      </c>
      <c r="Q452" s="3" t="s">
        <v>22</v>
      </c>
      <c r="R452">
        <f t="shared" ref="R452:R515" si="7">ROUND(YEARFRAC(D452,E452),0)</f>
        <v>5</v>
      </c>
      <c r="S452" s="22" cm="1">
        <f t="array" ref="S452">_xlfn.IFS(Table1[[#This Row],[Coupon frequency]]="Semi-annual",2,Table1[[#This Row],[Coupon frequency]]="Quarterly",4,Table1[[#This Row],[Coupon frequency]]="Annual",1,Table1[[#This Row],[Coupon frequency]]="Every 4 months",3,Table1[[#This Row],[Coupon frequency]]="Monthly",12)</f>
        <v>1</v>
      </c>
      <c r="T452">
        <f>Table1[[#This Row],[Term to Maturity (Years)]]*Table1[[#This Row],[Coupon Frequency2]]</f>
        <v>5</v>
      </c>
      <c r="U452">
        <f>Table1[[#This Row],[Face value]]*Table1[[#This Row],[Current coupon %]]/Table1[[#This Row],[Coupon Frequency2]]</f>
        <v>92.5</v>
      </c>
      <c r="V452" s="23">
        <f>RATE(Table1[[#This Row],[Total No. of Coupons]],Table1[[#This Row],[Coupon Amount]],-Table1[[#This Row],[Ask Price]],Table1[[#This Row],[Face value]])</f>
        <v>8.2270543057929621E-2</v>
      </c>
      <c r="W452" s="24">
        <f>Table1[[#This Row],[IRR]]*Table1[[#This Row],[Coupon Frequency2]]</f>
        <v>8.2270543057929621E-2</v>
      </c>
      <c r="X452" s="25" cm="1">
        <f t="array" ref="X4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2" s="26">
        <f>DURATION(Table1[[#This Row],[Issue date]],Table1[[#This Row],[Maturity date]],Table1[[#This Row],[Current coupon %]],Table1[[#This Row],[Yield (Annualised)]],Table1[[#This Row],[Coupon Frequency2]])</f>
        <v>4.2387600767323521</v>
      </c>
      <c r="Z452" s="26">
        <f>Table1[[#This Row],[Macaulay Duration in Years]]/(1+Table1[[#This Row],[IRR]])</f>
        <v>3.9165438844485565</v>
      </c>
      <c r="AA452" s="27">
        <f>VLOOKUP(Table1[[#This Row],[Yield Cluster]],'[1]Cluster Details'!$B$3:$C$16,2,0)</f>
        <v>7.8548801574189142E-2</v>
      </c>
      <c r="AB452" s="28">
        <f>PRICE(Table1[[#This Row],[Issue date]],Table1[[#This Row],[Maturity date]],Table1[[#This Row],[Current coupon %]],Table1[[#This Row],[Average Cluster Yield]],100,Table1[[#This Row],[Coupon Frequency2]])*Table1[[#This Row],[Face value]]/100</f>
        <v>1055.9167958481376</v>
      </c>
      <c r="AC452" s="27" t="str">
        <f>IF(Table1[[#This Row],[Ask Price]]&gt;Table1[[#This Row],[Calculated Bond Price]],"Rich","Cheap")</f>
        <v>Cheap</v>
      </c>
      <c r="AD452" s="28">
        <f>PRICE(Table1[[#This Row],[Issue date]],Table1[[#This Row],[Maturity date]],Table1[[#This Row],[Current coupon %]],Table1[[#This Row],[Yield (Annualised)]]+$AE$2,100,Table1[[#This Row],[Coupon Frequency2]])*Table1[[#This Row],[Face value]]/100</f>
        <v>1000.8872741336361</v>
      </c>
      <c r="AE452" s="28">
        <f>PRICE(Table1[[#This Row],[Issue date]],Table1[[#This Row],[Maturity date]],Table1[[#This Row],[Current coupon %]],Table1[[#This Row],[Yield (Annualised)]]-$AE$2,100,Table1[[#This Row],[Coupon Frequency2]])*Table1[[#This Row],[Face value]]/100</f>
        <v>1082.442939260822</v>
      </c>
      <c r="AF452" s="28">
        <f>(Table1[[#This Row],[P (+ shock)]]+Table1[[#This Row],[P (-shock)]]-2*Table1[[#This Row],[Ask Price]])/(2*Table1[[#This Row],[Ask Price]]*($AE$2^2))</f>
        <v>10.235505450981279</v>
      </c>
    </row>
    <row r="453" spans="1:32" x14ac:dyDescent="0.25">
      <c r="A453" s="21" t="s">
        <v>952</v>
      </c>
      <c r="B453" s="3" t="s">
        <v>953</v>
      </c>
      <c r="C453" s="3" t="s">
        <v>19</v>
      </c>
      <c r="D453" s="4">
        <v>45072</v>
      </c>
      <c r="E453" s="4">
        <v>47599</v>
      </c>
      <c r="F453" s="3">
        <v>100000</v>
      </c>
      <c r="G453" s="3" t="s">
        <v>20</v>
      </c>
      <c r="H453" s="3">
        <v>101350</v>
      </c>
      <c r="I453" s="3" t="s">
        <v>20</v>
      </c>
      <c r="J453" s="3">
        <v>101.35</v>
      </c>
      <c r="K453" s="3">
        <v>5</v>
      </c>
      <c r="L453" s="5">
        <v>0.09</v>
      </c>
      <c r="M453" s="3" t="s">
        <v>21</v>
      </c>
      <c r="N453" s="3">
        <v>1682</v>
      </c>
      <c r="O453" s="6">
        <f>Table1[[#This Row],[Current coupon %]]*Table1[[#This Row],[Face value]]/Table1[[#This Row],[Ask Price]]</f>
        <v>8.8801184015786877E-2</v>
      </c>
      <c r="P453" s="3"/>
      <c r="Q453" s="3" t="s">
        <v>22</v>
      </c>
      <c r="R453">
        <f t="shared" si="7"/>
        <v>7</v>
      </c>
      <c r="S453" s="22" cm="1">
        <f t="array" ref="S453">_xlfn.IFS(Table1[[#This Row],[Coupon frequency]]="Semi-annual",2,Table1[[#This Row],[Coupon frequency]]="Quarterly",4,Table1[[#This Row],[Coupon frequency]]="Annual",1,Table1[[#This Row],[Coupon frequency]]="Every 4 months",3,Table1[[#This Row],[Coupon frequency]]="Monthly",12)</f>
        <v>1</v>
      </c>
      <c r="T453">
        <f>Table1[[#This Row],[Term to Maturity (Years)]]*Table1[[#This Row],[Coupon Frequency2]]</f>
        <v>7</v>
      </c>
      <c r="U453">
        <f>Table1[[#This Row],[Face value]]*Table1[[#This Row],[Current coupon %]]/Table1[[#This Row],[Coupon Frequency2]]</f>
        <v>9000</v>
      </c>
      <c r="V453" s="23">
        <f>RATE(Table1[[#This Row],[Total No. of Coupons]],Table1[[#This Row],[Coupon Amount]],-Table1[[#This Row],[Ask Price]],Table1[[#This Row],[Face value]])</f>
        <v>8.7341558516840223E-2</v>
      </c>
      <c r="W453" s="24">
        <f>Table1[[#This Row],[IRR]]*Table1[[#This Row],[Coupon Frequency2]]</f>
        <v>8.7341558516840223E-2</v>
      </c>
      <c r="X453" s="25" cm="1">
        <f t="array" ref="X4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3" s="26">
        <f>DURATION(Table1[[#This Row],[Issue date]],Table1[[#This Row],[Maturity date]],Table1[[#This Row],[Current coupon %]],Table1[[#This Row],[Yield (Annualised)]],Table1[[#This Row],[Coupon Frequency2]])</f>
        <v>5.4136597416985275</v>
      </c>
      <c r="Z453" s="26">
        <f>Table1[[#This Row],[Macaulay Duration in Years]]/(1+Table1[[#This Row],[IRR]])</f>
        <v>4.978803301772893</v>
      </c>
      <c r="AA453" s="27">
        <f>VLOOKUP(Table1[[#This Row],[Yield Cluster]],'[1]Cluster Details'!$B$3:$C$16,2,0)</f>
        <v>7.8548801574189142E-2</v>
      </c>
      <c r="AB453" s="28">
        <f>PRICE(Table1[[#This Row],[Issue date]],Table1[[#This Row],[Maturity date]],Table1[[#This Row],[Current coupon %]],Table1[[#This Row],[Average Cluster Yield]],100,Table1[[#This Row],[Coupon Frequency2]])*Table1[[#This Row],[Face value]]/100</f>
        <v>105911.62380396519</v>
      </c>
      <c r="AC453" s="27" t="str">
        <f>IF(Table1[[#This Row],[Ask Price]]&gt;Table1[[#This Row],[Calculated Bond Price]],"Rich","Cheap")</f>
        <v>Cheap</v>
      </c>
      <c r="AD453" s="28">
        <f>PRICE(Table1[[#This Row],[Issue date]],Table1[[#This Row],[Maturity date]],Table1[[#This Row],[Current coupon %]],Table1[[#This Row],[Yield (Annualised)]]+$AE$2,100,Table1[[#This Row],[Coupon Frequency2]])*Table1[[#This Row],[Face value]]/100</f>
        <v>96393.393522858343</v>
      </c>
      <c r="AE453" s="28">
        <f>PRICE(Table1[[#This Row],[Issue date]],Table1[[#This Row],[Maturity date]],Table1[[#This Row],[Current coupon %]],Table1[[#This Row],[Yield (Annualised)]]-$AE$2,100,Table1[[#This Row],[Coupon Frequency2]])*Table1[[#This Row],[Face value]]/100</f>
        <v>106564.95298188785</v>
      </c>
      <c r="AF453" s="28">
        <f>(Table1[[#This Row],[P (+ shock)]]+Table1[[#This Row],[P (-shock)]]-2*Table1[[#This Row],[Ask Price]])/(2*Table1[[#This Row],[Ask Price]]*($AE$2^2))</f>
        <v>12.745264171000471</v>
      </c>
    </row>
    <row r="454" spans="1:32" x14ac:dyDescent="0.25">
      <c r="A454" s="21" t="s">
        <v>954</v>
      </c>
      <c r="B454" s="3" t="s">
        <v>955</v>
      </c>
      <c r="C454" s="3" t="s">
        <v>19</v>
      </c>
      <c r="D454" s="4">
        <v>44958</v>
      </c>
      <c r="E454" s="4">
        <v>46784</v>
      </c>
      <c r="F454" s="3">
        <v>1000</v>
      </c>
      <c r="G454" s="3" t="s">
        <v>20</v>
      </c>
      <c r="H454" s="3">
        <v>991</v>
      </c>
      <c r="I454" s="3" t="s">
        <v>20</v>
      </c>
      <c r="J454" s="3">
        <v>99.1</v>
      </c>
      <c r="K454" s="3">
        <v>20</v>
      </c>
      <c r="L454" s="5">
        <v>8.8000000000000009E-2</v>
      </c>
      <c r="M454" s="3" t="s">
        <v>21</v>
      </c>
      <c r="N454" s="3">
        <v>867</v>
      </c>
      <c r="O454" s="6">
        <f>Table1[[#This Row],[Current coupon %]]*Table1[[#This Row],[Face value]]/Table1[[#This Row],[Ask Price]]</f>
        <v>8.8799192734611523E-2</v>
      </c>
      <c r="P454" s="3"/>
      <c r="Q454" s="3" t="s">
        <v>22</v>
      </c>
      <c r="R454">
        <f t="shared" si="7"/>
        <v>5</v>
      </c>
      <c r="S454" s="22" cm="1">
        <f t="array" ref="S454">_xlfn.IFS(Table1[[#This Row],[Coupon frequency]]="Semi-annual",2,Table1[[#This Row],[Coupon frequency]]="Quarterly",4,Table1[[#This Row],[Coupon frequency]]="Annual",1,Table1[[#This Row],[Coupon frequency]]="Every 4 months",3,Table1[[#This Row],[Coupon frequency]]="Monthly",12)</f>
        <v>1</v>
      </c>
      <c r="T454">
        <f>Table1[[#This Row],[Term to Maturity (Years)]]*Table1[[#This Row],[Coupon Frequency2]]</f>
        <v>5</v>
      </c>
      <c r="U454">
        <f>Table1[[#This Row],[Face value]]*Table1[[#This Row],[Current coupon %]]/Table1[[#This Row],[Coupon Frequency2]]</f>
        <v>88.000000000000014</v>
      </c>
      <c r="V454" s="23">
        <f>RATE(Table1[[#This Row],[Total No. of Coupons]],Table1[[#This Row],[Coupon Amount]],-Table1[[#This Row],[Ask Price]],Table1[[#This Row],[Face value]])</f>
        <v>9.0315727940539686E-2</v>
      </c>
      <c r="W454" s="24">
        <f>Table1[[#This Row],[IRR]]*Table1[[#This Row],[Coupon Frequency2]]</f>
        <v>9.0315727940539686E-2</v>
      </c>
      <c r="X454" s="25" cm="1">
        <f t="array" ref="X4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4" s="26">
        <f>DURATION(Table1[[#This Row],[Issue date]],Table1[[#This Row],[Maturity date]],Table1[[#This Row],[Current coupon %]],Table1[[#This Row],[Yield (Annualised)]],Table1[[#This Row],[Coupon Frequency2]])</f>
        <v>4.2502799023498996</v>
      </c>
      <c r="Z454" s="26">
        <f>Table1[[#This Row],[Macaulay Duration in Years]]/(1+Table1[[#This Row],[IRR]])</f>
        <v>3.8982102096042479</v>
      </c>
      <c r="AA454" s="27">
        <f>VLOOKUP(Table1[[#This Row],[Yield Cluster]],'[1]Cluster Details'!$B$3:$C$16,2,0)</f>
        <v>7.8548801574189142E-2</v>
      </c>
      <c r="AB454" s="28">
        <f>PRICE(Table1[[#This Row],[Issue date]],Table1[[#This Row],[Maturity date]],Table1[[#This Row],[Current coupon %]],Table1[[#This Row],[Average Cluster Yield]],100,Table1[[#This Row],[Coupon Frequency2]])*Table1[[#This Row],[Face value]]/100</f>
        <v>1037.880669227568</v>
      </c>
      <c r="AC454" s="27" t="str">
        <f>IF(Table1[[#This Row],[Ask Price]]&gt;Table1[[#This Row],[Calculated Bond Price]],"Rich","Cheap")</f>
        <v>Cheap</v>
      </c>
      <c r="AD454" s="28">
        <f>PRICE(Table1[[#This Row],[Issue date]],Table1[[#This Row],[Maturity date]],Table1[[#This Row],[Current coupon %]],Table1[[#This Row],[Yield (Annualised)]]+$AE$2,100,Table1[[#This Row],[Coupon Frequency2]])*Table1[[#This Row],[Face value]]/100</f>
        <v>953.35133320880811</v>
      </c>
      <c r="AE454" s="28">
        <f>PRICE(Table1[[#This Row],[Issue date]],Table1[[#This Row],[Maturity date]],Table1[[#This Row],[Current coupon %]],Table1[[#This Row],[Yield (Annualised)]]-$AE$2,100,Table1[[#This Row],[Coupon Frequency2]])*Table1[[#This Row],[Face value]]/100</f>
        <v>1030.6555561971761</v>
      </c>
      <c r="AF454" s="28">
        <f>(Table1[[#This Row],[P (+ shock)]]+Table1[[#This Row],[P (-shock)]]-2*Table1[[#This Row],[Ask Price]])/(2*Table1[[#This Row],[Ask Price]]*($AE$2^2))</f>
        <v>10.125577224945062</v>
      </c>
    </row>
    <row r="455" spans="1:32" x14ac:dyDescent="0.25">
      <c r="A455" s="21" t="s">
        <v>956</v>
      </c>
      <c r="B455" s="3" t="s">
        <v>957</v>
      </c>
      <c r="C455" s="3" t="s">
        <v>19</v>
      </c>
      <c r="D455" s="4">
        <v>43187</v>
      </c>
      <c r="E455" s="4">
        <v>46840</v>
      </c>
      <c r="F455" s="3">
        <v>1000000</v>
      </c>
      <c r="G455" s="3" t="s">
        <v>20</v>
      </c>
      <c r="H455" s="3">
        <v>1014000</v>
      </c>
      <c r="I455" s="3" t="s">
        <v>20</v>
      </c>
      <c r="J455" s="3">
        <v>101.4</v>
      </c>
      <c r="K455" s="3">
        <v>1</v>
      </c>
      <c r="L455" s="5">
        <v>0.09</v>
      </c>
      <c r="M455" s="3" t="s">
        <v>21</v>
      </c>
      <c r="N455" s="3">
        <v>923</v>
      </c>
      <c r="O455" s="6">
        <f>Table1[[#This Row],[Current coupon %]]*Table1[[#This Row],[Face value]]/Table1[[#This Row],[Ask Price]]</f>
        <v>8.8757396449704137E-2</v>
      </c>
      <c r="P455" s="3" t="s">
        <v>97</v>
      </c>
      <c r="Q455" s="3" t="s">
        <v>22</v>
      </c>
      <c r="R455">
        <f t="shared" si="7"/>
        <v>10</v>
      </c>
      <c r="S455" s="22" cm="1">
        <f t="array" ref="S455">_xlfn.IFS(Table1[[#This Row],[Coupon frequency]]="Semi-annual",2,Table1[[#This Row],[Coupon frequency]]="Quarterly",4,Table1[[#This Row],[Coupon frequency]]="Annual",1,Table1[[#This Row],[Coupon frequency]]="Every 4 months",3,Table1[[#This Row],[Coupon frequency]]="Monthly",12)</f>
        <v>1</v>
      </c>
      <c r="T455">
        <f>Table1[[#This Row],[Term to Maturity (Years)]]*Table1[[#This Row],[Coupon Frequency2]]</f>
        <v>10</v>
      </c>
      <c r="U455">
        <f>Table1[[#This Row],[Face value]]*Table1[[#This Row],[Current coupon %]]/Table1[[#This Row],[Coupon Frequency2]]</f>
        <v>90000</v>
      </c>
      <c r="V455" s="23">
        <f>RATE(Table1[[#This Row],[Total No. of Coupons]],Table1[[#This Row],[Coupon Amount]],-Table1[[#This Row],[Ask Price]],Table1[[#This Row],[Face value]])</f>
        <v>8.7839222527039365E-2</v>
      </c>
      <c r="W455" s="24">
        <f>Table1[[#This Row],[IRR]]*Table1[[#This Row],[Coupon Frequency2]]</f>
        <v>8.7839222527039365E-2</v>
      </c>
      <c r="X455" s="25" cm="1">
        <f t="array" ref="X4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5" s="26">
        <f>DURATION(Table1[[#This Row],[Issue date]],Table1[[#This Row],[Maturity date]],Table1[[#This Row],[Current coupon %]],Table1[[#This Row],[Yield (Annualised)]],Table1[[#This Row],[Coupon Frequency2]])</f>
        <v>7.0174187259114769</v>
      </c>
      <c r="Z455" s="26">
        <f>Table1[[#This Row],[Macaulay Duration in Years]]/(1+Table1[[#This Row],[IRR]])</f>
        <v>6.4507866425427141</v>
      </c>
      <c r="AA455" s="27">
        <f>VLOOKUP(Table1[[#This Row],[Yield Cluster]],'[1]Cluster Details'!$B$3:$C$16,2,0)</f>
        <v>7.8548801574189142E-2</v>
      </c>
      <c r="AB455" s="28">
        <f>PRICE(Table1[[#This Row],[Issue date]],Table1[[#This Row],[Maturity date]],Table1[[#This Row],[Current coupon %]],Table1[[#This Row],[Average Cluster Yield]],100,Table1[[#This Row],[Coupon Frequency2]])*Table1[[#This Row],[Face value]]/100</f>
        <v>1077343.9773657171</v>
      </c>
      <c r="AC455" s="27" t="str">
        <f>IF(Table1[[#This Row],[Ask Price]]&gt;Table1[[#This Row],[Calculated Bond Price]],"Rich","Cheap")</f>
        <v>Cheap</v>
      </c>
      <c r="AD455" s="28">
        <f>PRICE(Table1[[#This Row],[Issue date]],Table1[[#This Row],[Maturity date]],Table1[[#This Row],[Current coupon %]],Table1[[#This Row],[Yield (Annualised)]]+$AE$2,100,Table1[[#This Row],[Coupon Frequency2]])*Table1[[#This Row],[Face value]]/100</f>
        <v>951380.98243248148</v>
      </c>
      <c r="AE455" s="28">
        <f>PRICE(Table1[[#This Row],[Issue date]],Table1[[#This Row],[Maturity date]],Table1[[#This Row],[Current coupon %]],Table1[[#This Row],[Yield (Annualised)]]-$AE$2,100,Table1[[#This Row],[Coupon Frequency2]])*Table1[[#This Row],[Face value]]/100</f>
        <v>1082401.1060876369</v>
      </c>
      <c r="AF455" s="28">
        <f>(Table1[[#This Row],[P (+ shock)]]+Table1[[#This Row],[P (-shock)]]-2*Table1[[#This Row],[Ask Price]])/(2*Table1[[#This Row],[Ask Price]]*($AE$2^2))</f>
        <v>28.51128461596894</v>
      </c>
    </row>
    <row r="456" spans="1:32" x14ac:dyDescent="0.25">
      <c r="A456" s="21" t="s">
        <v>958</v>
      </c>
      <c r="B456" s="3" t="s">
        <v>959</v>
      </c>
      <c r="C456" s="3" t="s">
        <v>19</v>
      </c>
      <c r="D456" s="4">
        <v>43153</v>
      </c>
      <c r="E456" s="4">
        <v>46805</v>
      </c>
      <c r="F456" s="3">
        <v>1000000</v>
      </c>
      <c r="G456" s="3" t="s">
        <v>20</v>
      </c>
      <c r="H456" s="3">
        <v>950000</v>
      </c>
      <c r="I456" s="3" t="s">
        <v>20</v>
      </c>
      <c r="J456" s="3">
        <v>95</v>
      </c>
      <c r="K456" s="3">
        <v>3</v>
      </c>
      <c r="L456" s="5">
        <v>8.43E-2</v>
      </c>
      <c r="M456" s="3" t="s">
        <v>21</v>
      </c>
      <c r="N456" s="3">
        <v>888</v>
      </c>
      <c r="O456" s="6">
        <f>Table1[[#This Row],[Current coupon %]]*Table1[[#This Row],[Face value]]/Table1[[#This Row],[Ask Price]]</f>
        <v>8.8736842105263156E-2</v>
      </c>
      <c r="P456" s="3" t="s">
        <v>25</v>
      </c>
      <c r="Q456" s="3" t="s">
        <v>22</v>
      </c>
      <c r="R456">
        <f t="shared" si="7"/>
        <v>10</v>
      </c>
      <c r="S456" s="22" cm="1">
        <f t="array" ref="S456">_xlfn.IFS(Table1[[#This Row],[Coupon frequency]]="Semi-annual",2,Table1[[#This Row],[Coupon frequency]]="Quarterly",4,Table1[[#This Row],[Coupon frequency]]="Annual",1,Table1[[#This Row],[Coupon frequency]]="Every 4 months",3,Table1[[#This Row],[Coupon frequency]]="Monthly",12)</f>
        <v>1</v>
      </c>
      <c r="T456">
        <f>Table1[[#This Row],[Term to Maturity (Years)]]*Table1[[#This Row],[Coupon Frequency2]]</f>
        <v>10</v>
      </c>
      <c r="U456">
        <f>Table1[[#This Row],[Face value]]*Table1[[#This Row],[Current coupon %]]/Table1[[#This Row],[Coupon Frequency2]]</f>
        <v>84300</v>
      </c>
      <c r="V456" s="23">
        <f>RATE(Table1[[#This Row],[Total No. of Coupons]],Table1[[#This Row],[Coupon Amount]],-Table1[[#This Row],[Ask Price]],Table1[[#This Row],[Face value]])</f>
        <v>9.2165420977026347E-2</v>
      </c>
      <c r="W456" s="24">
        <f>Table1[[#This Row],[IRR]]*Table1[[#This Row],[Coupon Frequency2]]</f>
        <v>9.2165420977026347E-2</v>
      </c>
      <c r="X456" s="25" cm="1">
        <f t="array" ref="X4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6" s="26">
        <f>DURATION(Table1[[#This Row],[Issue date]],Table1[[#This Row],[Maturity date]],Table1[[#This Row],[Current coupon %]],Table1[[#This Row],[Yield (Annualised)]],Table1[[#This Row],[Coupon Frequency2]])</f>
        <v>7.0565563762011294</v>
      </c>
      <c r="Z456" s="26">
        <f>Table1[[#This Row],[Macaulay Duration in Years]]/(1+Table1[[#This Row],[IRR]])</f>
        <v>6.4610692122888258</v>
      </c>
      <c r="AA456" s="27">
        <f>VLOOKUP(Table1[[#This Row],[Yield Cluster]],'[1]Cluster Details'!$B$3:$C$16,2,0)</f>
        <v>7.8548801574189142E-2</v>
      </c>
      <c r="AB456" s="28">
        <f>PRICE(Table1[[#This Row],[Issue date]],Table1[[#This Row],[Maturity date]],Table1[[#This Row],[Current coupon %]],Table1[[#This Row],[Average Cluster Yield]],100,Table1[[#This Row],[Coupon Frequency2]])*Table1[[#This Row],[Face value]]/100</f>
        <v>1038844.891541574</v>
      </c>
      <c r="AC456" s="27" t="str">
        <f>IF(Table1[[#This Row],[Ask Price]]&gt;Table1[[#This Row],[Calculated Bond Price]],"Rich","Cheap")</f>
        <v>Cheap</v>
      </c>
      <c r="AD456" s="28">
        <f>PRICE(Table1[[#This Row],[Issue date]],Table1[[#This Row],[Maturity date]],Table1[[#This Row],[Current coupon %]],Table1[[#This Row],[Yield (Annualised)]]+$AE$2,100,Table1[[#This Row],[Coupon Frequency2]])*Table1[[#This Row],[Face value]]/100</f>
        <v>891238.50582123618</v>
      </c>
      <c r="AE456" s="28">
        <f>PRICE(Table1[[#This Row],[Issue date]],Table1[[#This Row],[Maturity date]],Table1[[#This Row],[Current coupon %]],Table1[[#This Row],[Yield (Annualised)]]-$AE$2,100,Table1[[#This Row],[Coupon Frequency2]])*Table1[[#This Row],[Face value]]/100</f>
        <v>1014184.3506159426</v>
      </c>
      <c r="AF456" s="28">
        <f>(Table1[[#This Row],[P (+ shock)]]+Table1[[#This Row],[P (-shock)]]-2*Table1[[#This Row],[Ask Price]])/(2*Table1[[#This Row],[Ask Price]]*($AE$2^2))</f>
        <v>28.541349669362074</v>
      </c>
    </row>
    <row r="457" spans="1:32" x14ac:dyDescent="0.25">
      <c r="A457" s="21" t="s">
        <v>960</v>
      </c>
      <c r="B457" s="3" t="s">
        <v>961</v>
      </c>
      <c r="C457" s="3" t="s">
        <v>19</v>
      </c>
      <c r="D457" s="4">
        <v>45586</v>
      </c>
      <c r="E457" s="4">
        <v>46262</v>
      </c>
      <c r="F457" s="3">
        <v>100000</v>
      </c>
      <c r="G457" s="3" t="s">
        <v>20</v>
      </c>
      <c r="H457" s="3">
        <v>104311.9</v>
      </c>
      <c r="I457" s="3" t="s">
        <v>20</v>
      </c>
      <c r="J457" s="3">
        <v>104.31189999999999</v>
      </c>
      <c r="K457" s="3">
        <v>6</v>
      </c>
      <c r="L457" s="5">
        <v>9.2499999999999999E-2</v>
      </c>
      <c r="M457" s="3" t="s">
        <v>21</v>
      </c>
      <c r="N457" s="3">
        <v>345</v>
      </c>
      <c r="O457" s="6">
        <f>Table1[[#This Row],[Current coupon %]]*Table1[[#This Row],[Face value]]/Table1[[#This Row],[Ask Price]]</f>
        <v>8.8676363866442856E-2</v>
      </c>
      <c r="P457" s="3" t="s">
        <v>25</v>
      </c>
      <c r="Q457" s="3" t="s">
        <v>22</v>
      </c>
      <c r="R457">
        <f t="shared" si="7"/>
        <v>2</v>
      </c>
      <c r="S457" s="22" cm="1">
        <f t="array" ref="S457">_xlfn.IFS(Table1[[#This Row],[Coupon frequency]]="Semi-annual",2,Table1[[#This Row],[Coupon frequency]]="Quarterly",4,Table1[[#This Row],[Coupon frequency]]="Annual",1,Table1[[#This Row],[Coupon frequency]]="Every 4 months",3,Table1[[#This Row],[Coupon frequency]]="Monthly",12)</f>
        <v>1</v>
      </c>
      <c r="T457">
        <f>Table1[[#This Row],[Term to Maturity (Years)]]*Table1[[#This Row],[Coupon Frequency2]]</f>
        <v>2</v>
      </c>
      <c r="U457">
        <f>Table1[[#This Row],[Face value]]*Table1[[#This Row],[Current coupon %]]/Table1[[#This Row],[Coupon Frequency2]]</f>
        <v>9250</v>
      </c>
      <c r="V457" s="23">
        <f>RATE(Table1[[#This Row],[Total No. of Coupons]],Table1[[#This Row],[Coupon Amount]],-Table1[[#This Row],[Ask Price]],Table1[[#This Row],[Face value]])</f>
        <v>6.8694385308947989E-2</v>
      </c>
      <c r="W457" s="24">
        <f>Table1[[#This Row],[IRR]]*Table1[[#This Row],[Coupon Frequency2]]</f>
        <v>6.8694385308947989E-2</v>
      </c>
      <c r="X457" s="25" cm="1">
        <f t="array" ref="X4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7" s="26">
        <f>DURATION(Table1[[#This Row],[Issue date]],Table1[[#This Row],[Maturity date]],Table1[[#This Row],[Current coupon %]],Table1[[#This Row],[Yield (Annualised)]],Table1[[#This Row],[Coupon Frequency2]])</f>
        <v>1.7698014235595336</v>
      </c>
      <c r="Z457" s="26">
        <f>Table1[[#This Row],[Macaulay Duration in Years]]/(1+Table1[[#This Row],[IRR]])</f>
        <v>1.6560407239791977</v>
      </c>
      <c r="AA457" s="27">
        <f>VLOOKUP(Table1[[#This Row],[Yield Cluster]],'[1]Cluster Details'!$B$3:$C$16,2,0)</f>
        <v>7.8548801574189142E-2</v>
      </c>
      <c r="AB457" s="28">
        <f>PRICE(Table1[[#This Row],[Issue date]],Table1[[#This Row],[Maturity date]],Table1[[#This Row],[Current coupon %]],Table1[[#This Row],[Average Cluster Yield]],100,Table1[[#This Row],[Coupon Frequency2]])*Table1[[#This Row],[Face value]]/100</f>
        <v>102278.38924660203</v>
      </c>
      <c r="AC457" s="27" t="str">
        <f>IF(Table1[[#This Row],[Ask Price]]&gt;Table1[[#This Row],[Calculated Bond Price]],"Rich","Cheap")</f>
        <v>Rich</v>
      </c>
      <c r="AD457" s="28">
        <f>PRICE(Table1[[#This Row],[Issue date]],Table1[[#This Row],[Maturity date]],Table1[[#This Row],[Current coupon %]],Table1[[#This Row],[Yield (Annualised)]]+$AE$2,100,Table1[[#This Row],[Coupon Frequency2]])*Table1[[#This Row],[Face value]]/100</f>
        <v>102253.6451666748</v>
      </c>
      <c r="AE457" s="28">
        <f>PRICE(Table1[[#This Row],[Issue date]],Table1[[#This Row],[Maturity date]],Table1[[#This Row],[Current coupon %]],Table1[[#This Row],[Yield (Annualised)]]-$AE$2,100,Table1[[#This Row],[Coupon Frequency2]])*Table1[[#This Row],[Face value]]/100</f>
        <v>105743.0467944939</v>
      </c>
      <c r="AF457" s="28">
        <f>(Table1[[#This Row],[P (+ shock)]]+Table1[[#This Row],[P (-shock)]]-2*Table1[[#This Row],[Ask Price]])/(2*Table1[[#This Row],[Ask Price]]*($AE$2^2))</f>
        <v>-30.059276018904335</v>
      </c>
    </row>
    <row r="458" spans="1:32" x14ac:dyDescent="0.25">
      <c r="A458" s="21" t="s">
        <v>962</v>
      </c>
      <c r="B458" s="3" t="s">
        <v>963</v>
      </c>
      <c r="C458" s="3" t="s">
        <v>19</v>
      </c>
      <c r="D458" s="4">
        <v>43154</v>
      </c>
      <c r="E458" s="4">
        <v>46806</v>
      </c>
      <c r="F458" s="3">
        <v>1000000</v>
      </c>
      <c r="G458" s="3" t="s">
        <v>20</v>
      </c>
      <c r="H458" s="3">
        <v>951694.7</v>
      </c>
      <c r="I458" s="3" t="s">
        <v>20</v>
      </c>
      <c r="J458" s="3">
        <v>95.169470000000004</v>
      </c>
      <c r="K458" s="3">
        <v>2</v>
      </c>
      <c r="L458" s="5">
        <v>8.43E-2</v>
      </c>
      <c r="M458" s="3" t="s">
        <v>21</v>
      </c>
      <c r="N458" s="3">
        <v>889</v>
      </c>
      <c r="O458" s="6">
        <f>Table1[[#This Row],[Current coupon %]]*Table1[[#This Row],[Face value]]/Table1[[#This Row],[Ask Price]]</f>
        <v>8.8578826802334823E-2</v>
      </c>
      <c r="P458" s="3" t="s">
        <v>25</v>
      </c>
      <c r="Q458" s="3" t="s">
        <v>22</v>
      </c>
      <c r="R458">
        <f t="shared" si="7"/>
        <v>10</v>
      </c>
      <c r="S458" s="22" cm="1">
        <f t="array" ref="S458">_xlfn.IFS(Table1[[#This Row],[Coupon frequency]]="Semi-annual",2,Table1[[#This Row],[Coupon frequency]]="Quarterly",4,Table1[[#This Row],[Coupon frequency]]="Annual",1,Table1[[#This Row],[Coupon frequency]]="Every 4 months",3,Table1[[#This Row],[Coupon frequency]]="Monthly",12)</f>
        <v>1</v>
      </c>
      <c r="T458">
        <f>Table1[[#This Row],[Term to Maturity (Years)]]*Table1[[#This Row],[Coupon Frequency2]]</f>
        <v>10</v>
      </c>
      <c r="U458">
        <f>Table1[[#This Row],[Face value]]*Table1[[#This Row],[Current coupon %]]/Table1[[#This Row],[Coupon Frequency2]]</f>
        <v>84300</v>
      </c>
      <c r="V458" s="23">
        <f>RATE(Table1[[#This Row],[Total No. of Coupons]],Table1[[#This Row],[Coupon Amount]],-Table1[[#This Row],[Ask Price]],Table1[[#This Row],[Face value]])</f>
        <v>9.1889657892577845E-2</v>
      </c>
      <c r="W458" s="24">
        <f>Table1[[#This Row],[IRR]]*Table1[[#This Row],[Coupon Frequency2]]</f>
        <v>9.1889657892577845E-2</v>
      </c>
      <c r="X458" s="25" cm="1">
        <f t="array" ref="X4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8" s="26">
        <f>DURATION(Table1[[#This Row],[Issue date]],Table1[[#This Row],[Maturity date]],Table1[[#This Row],[Current coupon %]],Table1[[#This Row],[Yield (Annualised)]],Table1[[#This Row],[Coupon Frequency2]])</f>
        <v>7.0593767687123394</v>
      </c>
      <c r="Z458" s="26">
        <f>Table1[[#This Row],[Macaulay Duration in Years]]/(1+Table1[[#This Row],[IRR]])</f>
        <v>6.4652840309316808</v>
      </c>
      <c r="AA458" s="27">
        <f>VLOOKUP(Table1[[#This Row],[Yield Cluster]],'[1]Cluster Details'!$B$3:$C$16,2,0)</f>
        <v>7.8548801574189142E-2</v>
      </c>
      <c r="AB458" s="28">
        <f>PRICE(Table1[[#This Row],[Issue date]],Table1[[#This Row],[Maturity date]],Table1[[#This Row],[Current coupon %]],Table1[[#This Row],[Average Cluster Yield]],100,Table1[[#This Row],[Coupon Frequency2]])*Table1[[#This Row],[Face value]]/100</f>
        <v>1038844.891541574</v>
      </c>
      <c r="AC458" s="27" t="str">
        <f>IF(Table1[[#This Row],[Ask Price]]&gt;Table1[[#This Row],[Calculated Bond Price]],"Rich","Cheap")</f>
        <v>Cheap</v>
      </c>
      <c r="AD458" s="28">
        <f>PRICE(Table1[[#This Row],[Issue date]],Table1[[#This Row],[Maturity date]],Table1[[#This Row],[Current coupon %]],Table1[[#This Row],[Yield (Annualised)]]+$AE$2,100,Table1[[#This Row],[Coupon Frequency2]])*Table1[[#This Row],[Face value]]/100</f>
        <v>892790.99515280989</v>
      </c>
      <c r="AE458" s="28">
        <f>PRICE(Table1[[#This Row],[Issue date]],Table1[[#This Row],[Maturity date]],Table1[[#This Row],[Current coupon %]],Table1[[#This Row],[Yield (Annualised)]]-$AE$2,100,Table1[[#This Row],[Coupon Frequency2]])*Table1[[#This Row],[Face value]]/100</f>
        <v>1016036.6414798861</v>
      </c>
      <c r="AF458" s="28">
        <f>(Table1[[#This Row],[P (+ shock)]]+Table1[[#This Row],[P (-shock)]]-2*Table1[[#This Row],[Ask Price]])/(2*Table1[[#This Row],[Ask Price]]*($AE$2^2))</f>
        <v>28.571329821927765</v>
      </c>
    </row>
    <row r="459" spans="1:32" x14ac:dyDescent="0.25">
      <c r="A459" s="21" t="s">
        <v>964</v>
      </c>
      <c r="B459" s="3" t="s">
        <v>965</v>
      </c>
      <c r="C459" s="3" t="s">
        <v>19</v>
      </c>
      <c r="D459" s="4">
        <v>45434</v>
      </c>
      <c r="E459" s="4">
        <v>47260</v>
      </c>
      <c r="F459" s="3">
        <v>100000</v>
      </c>
      <c r="G459" s="3" t="s">
        <v>20</v>
      </c>
      <c r="H459" s="3">
        <v>103881</v>
      </c>
      <c r="I459" s="3" t="s">
        <v>20</v>
      </c>
      <c r="J459" s="3">
        <v>103.881</v>
      </c>
      <c r="K459" s="3">
        <v>10</v>
      </c>
      <c r="L459" s="5">
        <v>9.1999999999999998E-2</v>
      </c>
      <c r="M459" s="3" t="s">
        <v>21</v>
      </c>
      <c r="N459" s="3">
        <v>1343</v>
      </c>
      <c r="O459" s="6">
        <f>Table1[[#This Row],[Current coupon %]]*Table1[[#This Row],[Face value]]/Table1[[#This Row],[Ask Price]]</f>
        <v>8.8562874827928115E-2</v>
      </c>
      <c r="P459" s="3" t="s">
        <v>97</v>
      </c>
      <c r="Q459" s="3" t="s">
        <v>22</v>
      </c>
      <c r="R459">
        <f t="shared" si="7"/>
        <v>5</v>
      </c>
      <c r="S459" s="22" cm="1">
        <f t="array" ref="S459">_xlfn.IFS(Table1[[#This Row],[Coupon frequency]]="Semi-annual",2,Table1[[#This Row],[Coupon frequency]]="Quarterly",4,Table1[[#This Row],[Coupon frequency]]="Annual",1,Table1[[#This Row],[Coupon frequency]]="Every 4 months",3,Table1[[#This Row],[Coupon frequency]]="Monthly",12)</f>
        <v>1</v>
      </c>
      <c r="T459">
        <f>Table1[[#This Row],[Term to Maturity (Years)]]*Table1[[#This Row],[Coupon Frequency2]]</f>
        <v>5</v>
      </c>
      <c r="U459">
        <f>Table1[[#This Row],[Face value]]*Table1[[#This Row],[Current coupon %]]/Table1[[#This Row],[Coupon Frequency2]]</f>
        <v>9200</v>
      </c>
      <c r="V459" s="23">
        <f>RATE(Table1[[#This Row],[Total No. of Coupons]],Table1[[#This Row],[Coupon Amount]],-Table1[[#This Row],[Ask Price]],Table1[[#This Row],[Face value]])</f>
        <v>8.222277294100612E-2</v>
      </c>
      <c r="W459" s="24">
        <f>Table1[[#This Row],[IRR]]*Table1[[#This Row],[Coupon Frequency2]]</f>
        <v>8.222277294100612E-2</v>
      </c>
      <c r="X459" s="25" cm="1">
        <f t="array" ref="X4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59" s="26">
        <f>DURATION(Table1[[#This Row],[Issue date]],Table1[[#This Row],[Maturity date]],Table1[[#This Row],[Current coupon %]],Table1[[#This Row],[Yield (Annualised)]],Table1[[#This Row],[Coupon Frequency2]])</f>
        <v>4.2415058901909024</v>
      </c>
      <c r="Z459" s="26">
        <f>Table1[[#This Row],[Macaulay Duration in Years]]/(1+Table1[[#This Row],[IRR]])</f>
        <v>3.9192539616075095</v>
      </c>
      <c r="AA459" s="27">
        <f>VLOOKUP(Table1[[#This Row],[Yield Cluster]],'[1]Cluster Details'!$B$3:$C$16,2,0)</f>
        <v>7.8548801574189142E-2</v>
      </c>
      <c r="AB459" s="28">
        <f>PRICE(Table1[[#This Row],[Issue date]],Table1[[#This Row],[Maturity date]],Table1[[#This Row],[Current coupon %]],Table1[[#This Row],[Average Cluster Yield]],100,Table1[[#This Row],[Coupon Frequency2]])*Table1[[#This Row],[Face value]]/100</f>
        <v>105391.27817791853</v>
      </c>
      <c r="AC459" s="27" t="str">
        <f>IF(Table1[[#This Row],[Ask Price]]&gt;Table1[[#This Row],[Calculated Bond Price]],"Rich","Cheap")</f>
        <v>Cheap</v>
      </c>
      <c r="AD459" s="28">
        <f>PRICE(Table1[[#This Row],[Issue date]],Table1[[#This Row],[Maturity date]],Table1[[#This Row],[Current coupon %]],Table1[[#This Row],[Yield (Annualised)]]+$AE$2,100,Table1[[#This Row],[Coupon Frequency2]])*Table1[[#This Row],[Face value]]/100</f>
        <v>99913.846544825225</v>
      </c>
      <c r="AE459" s="28">
        <f>PRICE(Table1[[#This Row],[Issue date]],Table1[[#This Row],[Maturity date]],Table1[[#This Row],[Current coupon %]],Table1[[#This Row],[Yield (Annualised)]]-$AE$2,100,Table1[[#This Row],[Coupon Frequency2]])*Table1[[#This Row],[Face value]]/100</f>
        <v>108061.01990992238</v>
      </c>
      <c r="AF459" s="28">
        <f>(Table1[[#This Row],[P (+ shock)]]+Table1[[#This Row],[P (-shock)]]-2*Table1[[#This Row],[Ask Price]])/(2*Table1[[#This Row],[Ask Price]]*($AE$2^2))</f>
        <v>10.245687601564383</v>
      </c>
    </row>
    <row r="460" spans="1:32" x14ac:dyDescent="0.25">
      <c r="A460" s="21" t="s">
        <v>966</v>
      </c>
      <c r="B460" s="3" t="s">
        <v>967</v>
      </c>
      <c r="C460" s="3" t="s">
        <v>19</v>
      </c>
      <c r="D460" s="4">
        <v>42940</v>
      </c>
      <c r="E460" s="4">
        <v>46592</v>
      </c>
      <c r="F460" s="3">
        <v>1000</v>
      </c>
      <c r="G460" s="3" t="s">
        <v>20</v>
      </c>
      <c r="H460" s="3">
        <v>892.40002000000004</v>
      </c>
      <c r="I460" s="3" t="s">
        <v>20</v>
      </c>
      <c r="J460" s="3">
        <v>89.240002000000004</v>
      </c>
      <c r="K460" s="3">
        <v>1500</v>
      </c>
      <c r="L460" s="5">
        <v>7.9000000000000001E-2</v>
      </c>
      <c r="M460" s="3" t="s">
        <v>21</v>
      </c>
      <c r="N460" s="3">
        <v>675</v>
      </c>
      <c r="O460" s="6">
        <f>Table1[[#This Row],[Current coupon %]]*Table1[[#This Row],[Face value]]/Table1[[#This Row],[Ask Price]]</f>
        <v>8.8525322982399748E-2</v>
      </c>
      <c r="P460" s="3"/>
      <c r="Q460" s="3" t="s">
        <v>22</v>
      </c>
      <c r="R460">
        <f t="shared" si="7"/>
        <v>10</v>
      </c>
      <c r="S460" s="22" cm="1">
        <f t="array" ref="S460">_xlfn.IFS(Table1[[#This Row],[Coupon frequency]]="Semi-annual",2,Table1[[#This Row],[Coupon frequency]]="Quarterly",4,Table1[[#This Row],[Coupon frequency]]="Annual",1,Table1[[#This Row],[Coupon frequency]]="Every 4 months",3,Table1[[#This Row],[Coupon frequency]]="Monthly",12)</f>
        <v>1</v>
      </c>
      <c r="T460">
        <f>Table1[[#This Row],[Term to Maturity (Years)]]*Table1[[#This Row],[Coupon Frequency2]]</f>
        <v>10</v>
      </c>
      <c r="U460">
        <f>Table1[[#This Row],[Face value]]*Table1[[#This Row],[Current coupon %]]/Table1[[#This Row],[Coupon Frequency2]]</f>
        <v>79</v>
      </c>
      <c r="V460" s="23">
        <f>RATE(Table1[[#This Row],[Total No. of Coupons]],Table1[[#This Row],[Coupon Amount]],-Table1[[#This Row],[Ask Price]],Table1[[#This Row],[Face value]])</f>
        <v>9.6228702955415468E-2</v>
      </c>
      <c r="W460" s="24">
        <f>Table1[[#This Row],[IRR]]*Table1[[#This Row],[Coupon Frequency2]]</f>
        <v>9.6228702955415468E-2</v>
      </c>
      <c r="X460" s="25" cm="1">
        <f t="array" ref="X4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0" s="26">
        <f>DURATION(Table1[[#This Row],[Issue date]],Table1[[#This Row],[Maturity date]],Table1[[#This Row],[Current coupon %]],Table1[[#This Row],[Yield (Annualised)]],Table1[[#This Row],[Coupon Frequency2]])</f>
        <v>7.0988329569993409</v>
      </c>
      <c r="Z460" s="26">
        <f>Table1[[#This Row],[Macaulay Duration in Years]]/(1+Table1[[#This Row],[IRR]])</f>
        <v>6.4756860843553889</v>
      </c>
      <c r="AA460" s="27">
        <f>VLOOKUP(Table1[[#This Row],[Yield Cluster]],'[1]Cluster Details'!$B$3:$C$16,2,0)</f>
        <v>7.8548801574189142E-2</v>
      </c>
      <c r="AB460" s="28">
        <f>PRICE(Table1[[#This Row],[Issue date]],Table1[[#This Row],[Maturity date]],Table1[[#This Row],[Current coupon %]],Table1[[#This Row],[Average Cluster Yield]],100,Table1[[#This Row],[Coupon Frequency2]])*Table1[[#This Row],[Face value]]/100</f>
        <v>1003.0474959507043</v>
      </c>
      <c r="AC460" s="27" t="str">
        <f>IF(Table1[[#This Row],[Ask Price]]&gt;Table1[[#This Row],[Calculated Bond Price]],"Rich","Cheap")</f>
        <v>Cheap</v>
      </c>
      <c r="AD460" s="28">
        <f>PRICE(Table1[[#This Row],[Issue date]],Table1[[#This Row],[Maturity date]],Table1[[#This Row],[Current coupon %]],Table1[[#This Row],[Yield (Annualised)]]+$AE$2,100,Table1[[#This Row],[Coupon Frequency2]])*Table1[[#This Row],[Face value]]/100</f>
        <v>837.07610492820834</v>
      </c>
      <c r="AE460" s="28">
        <f>PRICE(Table1[[#This Row],[Issue date]],Table1[[#This Row],[Maturity date]],Table1[[#This Row],[Current coupon %]],Table1[[#This Row],[Yield (Annualised)]]-$AE$2,100,Table1[[#This Row],[Coupon Frequency2]])*Table1[[#This Row],[Face value]]/100</f>
        <v>952.82853147706192</v>
      </c>
      <c r="AF460" s="28">
        <f>(Table1[[#This Row],[P (+ shock)]]+Table1[[#This Row],[P (-shock)]]-2*Table1[[#This Row],[Ask Price]])/(2*Table1[[#This Row],[Ask Price]]*($AE$2^2))</f>
        <v>28.600382624767633</v>
      </c>
    </row>
    <row r="461" spans="1:32" x14ac:dyDescent="0.25">
      <c r="A461" s="21" t="s">
        <v>968</v>
      </c>
      <c r="B461" s="3" t="s">
        <v>969</v>
      </c>
      <c r="C461" s="3" t="s">
        <v>19</v>
      </c>
      <c r="D461" s="4">
        <v>45560</v>
      </c>
      <c r="E461" s="4">
        <v>46290</v>
      </c>
      <c r="F461" s="3">
        <v>1000</v>
      </c>
      <c r="G461" s="3" t="s">
        <v>20</v>
      </c>
      <c r="H461" s="3">
        <v>1045</v>
      </c>
      <c r="I461" s="3" t="s">
        <v>20</v>
      </c>
      <c r="J461" s="3">
        <v>104.5</v>
      </c>
      <c r="K461" s="3">
        <v>4</v>
      </c>
      <c r="L461" s="5">
        <v>9.2499999999999999E-2</v>
      </c>
      <c r="M461" s="3" t="s">
        <v>21</v>
      </c>
      <c r="N461" s="3">
        <v>373</v>
      </c>
      <c r="O461" s="6">
        <f>Table1[[#This Row],[Current coupon %]]*Table1[[#This Row],[Face value]]/Table1[[#This Row],[Ask Price]]</f>
        <v>8.8516746411483258E-2</v>
      </c>
      <c r="P461" s="3" t="s">
        <v>25</v>
      </c>
      <c r="Q461" s="3" t="s">
        <v>22</v>
      </c>
      <c r="R461">
        <f t="shared" si="7"/>
        <v>2</v>
      </c>
      <c r="S461" s="22" cm="1">
        <f t="array" ref="S461">_xlfn.IFS(Table1[[#This Row],[Coupon frequency]]="Semi-annual",2,Table1[[#This Row],[Coupon frequency]]="Quarterly",4,Table1[[#This Row],[Coupon frequency]]="Annual",1,Table1[[#This Row],[Coupon frequency]]="Every 4 months",3,Table1[[#This Row],[Coupon frequency]]="Monthly",12)</f>
        <v>1</v>
      </c>
      <c r="T461">
        <f>Table1[[#This Row],[Term to Maturity (Years)]]*Table1[[#This Row],[Coupon Frequency2]]</f>
        <v>2</v>
      </c>
      <c r="U461">
        <f>Table1[[#This Row],[Face value]]*Table1[[#This Row],[Current coupon %]]/Table1[[#This Row],[Coupon Frequency2]]</f>
        <v>92.5</v>
      </c>
      <c r="V461" s="23">
        <f>RATE(Table1[[#This Row],[Total No. of Coupons]],Table1[[#This Row],[Coupon Amount]],-Table1[[#This Row],[Ask Price]],Table1[[#This Row],[Face value]])</f>
        <v>6.7690515095657475E-2</v>
      </c>
      <c r="W461" s="24">
        <f>Table1[[#This Row],[IRR]]*Table1[[#This Row],[Coupon Frequency2]]</f>
        <v>6.7690515095657475E-2</v>
      </c>
      <c r="X461" s="25" cm="1">
        <f t="array" ref="X4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1" s="26">
        <f>DURATION(Table1[[#This Row],[Issue date]],Table1[[#This Row],[Maturity date]],Table1[[#This Row],[Current coupon %]],Table1[[#This Row],[Yield (Annualised)]],Table1[[#This Row],[Coupon Frequency2]])</f>
        <v>1.9170951271365804</v>
      </c>
      <c r="Z461" s="26">
        <f>Table1[[#This Row],[Macaulay Duration in Years]]/(1+Table1[[#This Row],[IRR]])</f>
        <v>1.7955532057572154</v>
      </c>
      <c r="AA461" s="27">
        <f>VLOOKUP(Table1[[#This Row],[Yield Cluster]],'[1]Cluster Details'!$B$3:$C$16,2,0)</f>
        <v>7.8548801574189142E-2</v>
      </c>
      <c r="AB461" s="28">
        <f>PRICE(Table1[[#This Row],[Issue date]],Table1[[#This Row],[Maturity date]],Table1[[#This Row],[Current coupon %]],Table1[[#This Row],[Average Cluster Yield]],100,Table1[[#This Row],[Coupon Frequency2]])*Table1[[#This Row],[Face value]]/100</f>
        <v>1024.9282700112499</v>
      </c>
      <c r="AC461" s="27" t="str">
        <f>IF(Table1[[#This Row],[Ask Price]]&gt;Table1[[#This Row],[Calculated Bond Price]],"Rich","Cheap")</f>
        <v>Rich</v>
      </c>
      <c r="AD461" s="28">
        <f>PRICE(Table1[[#This Row],[Issue date]],Table1[[#This Row],[Maturity date]],Table1[[#This Row],[Current coupon %]],Table1[[#This Row],[Yield (Annualised)]]+$AE$2,100,Table1[[#This Row],[Coupon Frequency2]])*Table1[[#This Row],[Face value]]/100</f>
        <v>1026.4930945478447</v>
      </c>
      <c r="AE461" s="28">
        <f>PRICE(Table1[[#This Row],[Issue date]],Table1[[#This Row],[Maturity date]],Table1[[#This Row],[Current coupon %]],Table1[[#This Row],[Yield (Annualised)]]-$AE$2,100,Table1[[#This Row],[Coupon Frequency2]])*Table1[[#This Row],[Face value]]/100</f>
        <v>1064.0265989374668</v>
      </c>
      <c r="AF461" s="28">
        <f>(Table1[[#This Row],[P (+ shock)]]+Table1[[#This Row],[P (-shock)]]-2*Table1[[#This Row],[Ask Price]])/(2*Table1[[#This Row],[Ask Price]]*($AE$2^2))</f>
        <v>2.486571700055328</v>
      </c>
    </row>
    <row r="462" spans="1:32" x14ac:dyDescent="0.25">
      <c r="A462" s="21" t="s">
        <v>970</v>
      </c>
      <c r="B462" s="3" t="s">
        <v>971</v>
      </c>
      <c r="C462" s="3" t="s">
        <v>19</v>
      </c>
      <c r="D462" s="4">
        <v>43483</v>
      </c>
      <c r="E462" s="4">
        <v>47136</v>
      </c>
      <c r="F462" s="3">
        <v>1000</v>
      </c>
      <c r="G462" s="3" t="s">
        <v>20</v>
      </c>
      <c r="H462" s="3">
        <v>1075</v>
      </c>
      <c r="I462" s="3" t="s">
        <v>20</v>
      </c>
      <c r="J462" s="3">
        <v>107.5</v>
      </c>
      <c r="K462" s="3">
        <v>72</v>
      </c>
      <c r="L462" s="5">
        <v>9.5000000000000001E-2</v>
      </c>
      <c r="M462" s="3" t="s">
        <v>21</v>
      </c>
      <c r="N462" s="3">
        <v>1219</v>
      </c>
      <c r="O462" s="6">
        <f>Table1[[#This Row],[Current coupon %]]*Table1[[#This Row],[Face value]]/Table1[[#This Row],[Ask Price]]</f>
        <v>8.8372093023255813E-2</v>
      </c>
      <c r="P462" s="3"/>
      <c r="Q462" s="3" t="s">
        <v>22</v>
      </c>
      <c r="R462">
        <f t="shared" si="7"/>
        <v>10</v>
      </c>
      <c r="S462" s="22" cm="1">
        <f t="array" ref="S462">_xlfn.IFS(Table1[[#This Row],[Coupon frequency]]="Semi-annual",2,Table1[[#This Row],[Coupon frequency]]="Quarterly",4,Table1[[#This Row],[Coupon frequency]]="Annual",1,Table1[[#This Row],[Coupon frequency]]="Every 4 months",3,Table1[[#This Row],[Coupon frequency]]="Monthly",12)</f>
        <v>1</v>
      </c>
      <c r="T462">
        <f>Table1[[#This Row],[Term to Maturity (Years)]]*Table1[[#This Row],[Coupon Frequency2]]</f>
        <v>10</v>
      </c>
      <c r="U462">
        <f>Table1[[#This Row],[Face value]]*Table1[[#This Row],[Current coupon %]]/Table1[[#This Row],[Coupon Frequency2]]</f>
        <v>95</v>
      </c>
      <c r="V462" s="23">
        <f>RATE(Table1[[#This Row],[Total No. of Coupons]],Table1[[#This Row],[Coupon Amount]],-Table1[[#This Row],[Ask Price]],Table1[[#This Row],[Face value]])</f>
        <v>8.363866100078135E-2</v>
      </c>
      <c r="W462" s="24">
        <f>Table1[[#This Row],[IRR]]*Table1[[#This Row],[Coupon Frequency2]]</f>
        <v>8.363866100078135E-2</v>
      </c>
      <c r="X462" s="25" cm="1">
        <f t="array" ref="X4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2" s="26">
        <f>DURATION(Table1[[#This Row],[Issue date]],Table1[[#This Row],[Maturity date]],Table1[[#This Row],[Current coupon %]],Table1[[#This Row],[Yield (Annualised)]],Table1[[#This Row],[Coupon Frequency2]])</f>
        <v>6.992364845175584</v>
      </c>
      <c r="Z462" s="26">
        <f>Table1[[#This Row],[Macaulay Duration in Years]]/(1+Table1[[#This Row],[IRR]])</f>
        <v>6.4526719992786807</v>
      </c>
      <c r="AA462" s="27">
        <f>VLOOKUP(Table1[[#This Row],[Yield Cluster]],'[1]Cluster Details'!$B$3:$C$16,2,0)</f>
        <v>7.8548801574189142E-2</v>
      </c>
      <c r="AB462" s="28">
        <f>PRICE(Table1[[#This Row],[Issue date]],Table1[[#This Row],[Maturity date]],Table1[[#This Row],[Current coupon %]],Table1[[#This Row],[Average Cluster Yield]],100,Table1[[#This Row],[Coupon Frequency2]])*Table1[[#This Row],[Face value]]/100</f>
        <v>1111.1151052816319</v>
      </c>
      <c r="AC462" s="27" t="str">
        <f>IF(Table1[[#This Row],[Ask Price]]&gt;Table1[[#This Row],[Calculated Bond Price]],"Rich","Cheap")</f>
        <v>Cheap</v>
      </c>
      <c r="AD462" s="28">
        <f>PRICE(Table1[[#This Row],[Issue date]],Table1[[#This Row],[Maturity date]],Table1[[#This Row],[Current coupon %]],Table1[[#This Row],[Yield (Annualised)]]+$AE$2,100,Table1[[#This Row],[Coupon Frequency2]])*Table1[[#This Row],[Face value]]/100</f>
        <v>1008.5984052327476</v>
      </c>
      <c r="AE462" s="28">
        <f>PRICE(Table1[[#This Row],[Issue date]],Table1[[#This Row],[Maturity date]],Table1[[#This Row],[Current coupon %]],Table1[[#This Row],[Yield (Annualised)]]-$AE$2,100,Table1[[#This Row],[Coupon Frequency2]])*Table1[[#This Row],[Face value]]/100</f>
        <v>1147.5417579847372</v>
      </c>
      <c r="AF462" s="28">
        <f>(Table1[[#This Row],[P (+ shock)]]+Table1[[#This Row],[P (-shock)]]-2*Table1[[#This Row],[Ask Price]])/(2*Table1[[#This Row],[Ask Price]]*($AE$2^2))</f>
        <v>28.55889868597567</v>
      </c>
    </row>
    <row r="463" spans="1:32" x14ac:dyDescent="0.25">
      <c r="A463" s="21" t="s">
        <v>972</v>
      </c>
      <c r="B463" s="3" t="s">
        <v>973</v>
      </c>
      <c r="C463" s="3" t="s">
        <v>19</v>
      </c>
      <c r="D463" s="4">
        <v>45421</v>
      </c>
      <c r="E463" s="4">
        <v>46516</v>
      </c>
      <c r="F463" s="3">
        <v>1000</v>
      </c>
      <c r="G463" s="3" t="s">
        <v>20</v>
      </c>
      <c r="H463" s="3">
        <v>1030</v>
      </c>
      <c r="I463" s="3" t="s">
        <v>20</v>
      </c>
      <c r="J463" s="3">
        <v>103</v>
      </c>
      <c r="K463" s="3">
        <v>25</v>
      </c>
      <c r="L463" s="5">
        <v>9.0999999999999998E-2</v>
      </c>
      <c r="M463" s="3" t="s">
        <v>21</v>
      </c>
      <c r="N463" s="3">
        <v>599</v>
      </c>
      <c r="O463" s="6">
        <f>Table1[[#This Row],[Current coupon %]]*Table1[[#This Row],[Face value]]/Table1[[#This Row],[Ask Price]]</f>
        <v>8.8349514563106801E-2</v>
      </c>
      <c r="P463" s="3"/>
      <c r="Q463" s="3" t="s">
        <v>22</v>
      </c>
      <c r="R463">
        <f t="shared" si="7"/>
        <v>3</v>
      </c>
      <c r="S463" s="22" cm="1">
        <f t="array" ref="S463">_xlfn.IFS(Table1[[#This Row],[Coupon frequency]]="Semi-annual",2,Table1[[#This Row],[Coupon frequency]]="Quarterly",4,Table1[[#This Row],[Coupon frequency]]="Annual",1,Table1[[#This Row],[Coupon frequency]]="Every 4 months",3,Table1[[#This Row],[Coupon frequency]]="Monthly",12)</f>
        <v>1</v>
      </c>
      <c r="T463">
        <f>Table1[[#This Row],[Term to Maturity (Years)]]*Table1[[#This Row],[Coupon Frequency2]]</f>
        <v>3</v>
      </c>
      <c r="U463">
        <f>Table1[[#This Row],[Face value]]*Table1[[#This Row],[Current coupon %]]/Table1[[#This Row],[Coupon Frequency2]]</f>
        <v>91</v>
      </c>
      <c r="V463" s="23">
        <f>RATE(Table1[[#This Row],[Total No. of Coupons]],Table1[[#This Row],[Coupon Amount]],-Table1[[#This Row],[Ask Price]],Table1[[#This Row],[Face value]])</f>
        <v>7.9372179576326876E-2</v>
      </c>
      <c r="W463" s="24">
        <f>Table1[[#This Row],[IRR]]*Table1[[#This Row],[Coupon Frequency2]]</f>
        <v>7.9372179576326876E-2</v>
      </c>
      <c r="X463" s="25" cm="1">
        <f t="array" ref="X4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3" s="26">
        <f>DURATION(Table1[[#This Row],[Issue date]],Table1[[#This Row],[Maturity date]],Table1[[#This Row],[Current coupon %]],Table1[[#This Row],[Yield (Annualised)]],Table1[[#This Row],[Coupon Frequency2]])</f>
        <v>2.7604610139969359</v>
      </c>
      <c r="Z463" s="26">
        <f>Table1[[#This Row],[Macaulay Duration in Years]]/(1+Table1[[#This Row],[IRR]])</f>
        <v>2.5574691160563976</v>
      </c>
      <c r="AA463" s="27">
        <f>VLOOKUP(Table1[[#This Row],[Yield Cluster]],'[1]Cluster Details'!$B$3:$C$16,2,0)</f>
        <v>7.8548801574189142E-2</v>
      </c>
      <c r="AB463" s="28">
        <f>PRICE(Table1[[#This Row],[Issue date]],Table1[[#This Row],[Maturity date]],Table1[[#This Row],[Current coupon %]],Table1[[#This Row],[Average Cluster Yield]],100,Table1[[#This Row],[Coupon Frequency2]])*Table1[[#This Row],[Face value]]/100</f>
        <v>1032.1721553074779</v>
      </c>
      <c r="AC463" s="27" t="str">
        <f>IF(Table1[[#This Row],[Ask Price]]&gt;Table1[[#This Row],[Calculated Bond Price]],"Rich","Cheap")</f>
        <v>Cheap</v>
      </c>
      <c r="AD463" s="28">
        <f>PRICE(Table1[[#This Row],[Issue date]],Table1[[#This Row],[Maturity date]],Table1[[#This Row],[Current coupon %]],Table1[[#This Row],[Yield (Annualised)]]+$AE$2,100,Table1[[#This Row],[Coupon Frequency2]])*Table1[[#This Row],[Face value]]/100</f>
        <v>1004.125107997015</v>
      </c>
      <c r="AE463" s="28">
        <f>PRICE(Table1[[#This Row],[Issue date]],Table1[[#This Row],[Maturity date]],Table1[[#This Row],[Current coupon %]],Table1[[#This Row],[Yield (Annualised)]]-$AE$2,100,Table1[[#This Row],[Coupon Frequency2]])*Table1[[#This Row],[Face value]]/100</f>
        <v>1056.8234037034767</v>
      </c>
      <c r="AF463" s="28">
        <f>(Table1[[#This Row],[P (+ shock)]]+Table1[[#This Row],[P (-shock)]]-2*Table1[[#This Row],[Ask Price]])/(2*Table1[[#This Row],[Ask Price]]*($AE$2^2))</f>
        <v>4.6044257305413021</v>
      </c>
    </row>
    <row r="464" spans="1:32" x14ac:dyDescent="0.25">
      <c r="A464" s="21" t="s">
        <v>974</v>
      </c>
      <c r="B464" s="3" t="s">
        <v>975</v>
      </c>
      <c r="C464" s="3" t="s">
        <v>19</v>
      </c>
      <c r="D464" s="4">
        <v>45716</v>
      </c>
      <c r="E464" s="4">
        <v>47759</v>
      </c>
      <c r="F464" s="3">
        <v>100000</v>
      </c>
      <c r="G464" s="3" t="s">
        <v>20</v>
      </c>
      <c r="H464" s="3">
        <v>104789.38</v>
      </c>
      <c r="I464" s="3" t="s">
        <v>20</v>
      </c>
      <c r="J464" s="3">
        <v>104.78937999999999</v>
      </c>
      <c r="K464" s="3">
        <v>30</v>
      </c>
      <c r="L464" s="5">
        <v>9.2499999999999999E-2</v>
      </c>
      <c r="M464" s="3" t="s">
        <v>21</v>
      </c>
      <c r="N464" s="3">
        <v>1842</v>
      </c>
      <c r="O464" s="6">
        <f>Table1[[#This Row],[Current coupon %]]*Table1[[#This Row],[Face value]]/Table1[[#This Row],[Ask Price]]</f>
        <v>8.8272303930035656E-2</v>
      </c>
      <c r="P464" s="3"/>
      <c r="Q464" s="3" t="s">
        <v>22</v>
      </c>
      <c r="R464">
        <f t="shared" si="7"/>
        <v>6</v>
      </c>
      <c r="S464" s="22" cm="1">
        <f t="array" ref="S464">_xlfn.IFS(Table1[[#This Row],[Coupon frequency]]="Semi-annual",2,Table1[[#This Row],[Coupon frequency]]="Quarterly",4,Table1[[#This Row],[Coupon frequency]]="Annual",1,Table1[[#This Row],[Coupon frequency]]="Every 4 months",3,Table1[[#This Row],[Coupon frequency]]="Monthly",12)</f>
        <v>1</v>
      </c>
      <c r="T464">
        <f>Table1[[#This Row],[Term to Maturity (Years)]]*Table1[[#This Row],[Coupon Frequency2]]</f>
        <v>6</v>
      </c>
      <c r="U464">
        <f>Table1[[#This Row],[Face value]]*Table1[[#This Row],[Current coupon %]]/Table1[[#This Row],[Coupon Frequency2]]</f>
        <v>9250</v>
      </c>
      <c r="V464" s="23">
        <f>RATE(Table1[[#This Row],[Total No. of Coupons]],Table1[[#This Row],[Coupon Amount]],-Table1[[#This Row],[Ask Price]],Table1[[#This Row],[Face value]])</f>
        <v>8.2074545644056557E-2</v>
      </c>
      <c r="W464" s="24">
        <f>Table1[[#This Row],[IRR]]*Table1[[#This Row],[Coupon Frequency2]]</f>
        <v>8.2074545644056557E-2</v>
      </c>
      <c r="X464" s="25" cm="1">
        <f t="array" ref="X4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4" s="26">
        <f>DURATION(Table1[[#This Row],[Issue date]],Table1[[#This Row],[Maturity date]],Table1[[#This Row],[Current coupon %]],Table1[[#This Row],[Yield (Annualised)]],Table1[[#This Row],[Coupon Frequency2]])</f>
        <v>4.4904905216431166</v>
      </c>
      <c r="Z464" s="26">
        <f>Table1[[#This Row],[Macaulay Duration in Years]]/(1+Table1[[#This Row],[IRR]])</f>
        <v>4.1498901713563114</v>
      </c>
      <c r="AA464" s="27">
        <f>VLOOKUP(Table1[[#This Row],[Yield Cluster]],'[1]Cluster Details'!$B$3:$C$16,2,0)</f>
        <v>7.8548801574189142E-2</v>
      </c>
      <c r="AB464" s="28">
        <f>PRICE(Table1[[#This Row],[Issue date]],Table1[[#This Row],[Maturity date]],Table1[[#This Row],[Current coupon %]],Table1[[#This Row],[Average Cluster Yield]],100,Table1[[#This Row],[Coupon Frequency2]])*Table1[[#This Row],[Face value]]/100</f>
        <v>106045.11756528681</v>
      </c>
      <c r="AC464" s="27" t="str">
        <f>IF(Table1[[#This Row],[Ask Price]]&gt;Table1[[#This Row],[Calculated Bond Price]],"Rich","Cheap")</f>
        <v>Cheap</v>
      </c>
      <c r="AD464" s="28">
        <f>PRICE(Table1[[#This Row],[Issue date]],Table1[[#This Row],[Maturity date]],Table1[[#This Row],[Current coupon %]],Table1[[#This Row],[Yield (Annualised)]]+$AE$2,100,Table1[[#This Row],[Coupon Frequency2]])*Table1[[#This Row],[Face value]]/100</f>
        <v>100082.1474510354</v>
      </c>
      <c r="AE464" s="28">
        <f>PRICE(Table1[[#This Row],[Issue date]],Table1[[#This Row],[Maturity date]],Table1[[#This Row],[Current coupon %]],Table1[[#This Row],[Yield (Annualised)]]-$AE$2,100,Table1[[#This Row],[Coupon Frequency2]])*Table1[[#This Row],[Face value]]/100</f>
        <v>109065.96224152482</v>
      </c>
      <c r="AF464" s="28">
        <f>(Table1[[#This Row],[P (+ shock)]]+Table1[[#This Row],[P (-shock)]]-2*Table1[[#This Row],[Ask Price]])/(2*Table1[[#This Row],[Ask Price]]*($AE$2^2))</f>
        <v>-20.548375581561388</v>
      </c>
    </row>
    <row r="465" spans="1:32" x14ac:dyDescent="0.25">
      <c r="A465" s="21" t="s">
        <v>976</v>
      </c>
      <c r="B465" s="3" t="s">
        <v>977</v>
      </c>
      <c r="C465" s="3" t="s">
        <v>19</v>
      </c>
      <c r="D465" s="4">
        <v>42460</v>
      </c>
      <c r="E465" s="4">
        <v>46112</v>
      </c>
      <c r="F465" s="3">
        <v>1000000</v>
      </c>
      <c r="G465" s="3" t="s">
        <v>20</v>
      </c>
      <c r="H465" s="3">
        <v>1020000</v>
      </c>
      <c r="I465" s="3" t="s">
        <v>20</v>
      </c>
      <c r="J465" s="3">
        <v>102</v>
      </c>
      <c r="K465" s="3">
        <v>1</v>
      </c>
      <c r="L465" s="5">
        <v>0.09</v>
      </c>
      <c r="M465" s="3" t="s">
        <v>21</v>
      </c>
      <c r="N465" s="3">
        <v>195</v>
      </c>
      <c r="O465" s="6">
        <f>Table1[[#This Row],[Current coupon %]]*Table1[[#This Row],[Face value]]/Table1[[#This Row],[Ask Price]]</f>
        <v>8.8235294117647065E-2</v>
      </c>
      <c r="P465" s="3"/>
      <c r="Q465" s="3" t="s">
        <v>22</v>
      </c>
      <c r="R465">
        <f t="shared" si="7"/>
        <v>10</v>
      </c>
      <c r="S465" s="22" cm="1">
        <f t="array" ref="S465">_xlfn.IFS(Table1[[#This Row],[Coupon frequency]]="Semi-annual",2,Table1[[#This Row],[Coupon frequency]]="Quarterly",4,Table1[[#This Row],[Coupon frequency]]="Annual",1,Table1[[#This Row],[Coupon frequency]]="Every 4 months",3,Table1[[#This Row],[Coupon frequency]]="Monthly",12)</f>
        <v>1</v>
      </c>
      <c r="T465">
        <f>Table1[[#This Row],[Term to Maturity (Years)]]*Table1[[#This Row],[Coupon Frequency2]]</f>
        <v>10</v>
      </c>
      <c r="U465">
        <f>Table1[[#This Row],[Face value]]*Table1[[#This Row],[Current coupon %]]/Table1[[#This Row],[Coupon Frequency2]]</f>
        <v>90000</v>
      </c>
      <c r="V465" s="23">
        <f>RATE(Table1[[#This Row],[Total No. of Coupons]],Table1[[#This Row],[Coupon Amount]],-Table1[[#This Row],[Ask Price]],Table1[[#This Row],[Face value]])</f>
        <v>8.6925642146766693E-2</v>
      </c>
      <c r="W465" s="24">
        <f>Table1[[#This Row],[IRR]]*Table1[[#This Row],[Coupon Frequency2]]</f>
        <v>8.6925642146766693E-2</v>
      </c>
      <c r="X465" s="25" cm="1">
        <f t="array" ref="X4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5" s="26">
        <f>DURATION(Table1[[#This Row],[Issue date]],Table1[[#This Row],[Maturity date]],Table1[[#This Row],[Current coupon %]],Table1[[#This Row],[Yield (Annualised)]],Table1[[#This Row],[Coupon Frequency2]])</f>
        <v>7.0267810128779642</v>
      </c>
      <c r="Z465" s="26">
        <f>Table1[[#This Row],[Macaulay Duration in Years]]/(1+Table1[[#This Row],[IRR]])</f>
        <v>6.464822192435812</v>
      </c>
      <c r="AA465" s="27">
        <f>VLOOKUP(Table1[[#This Row],[Yield Cluster]],'[1]Cluster Details'!$B$3:$C$16,2,0)</f>
        <v>7.8548801574189142E-2</v>
      </c>
      <c r="AB465" s="28">
        <f>PRICE(Table1[[#This Row],[Issue date]],Table1[[#This Row],[Maturity date]],Table1[[#This Row],[Current coupon %]],Table1[[#This Row],[Average Cluster Yield]],100,Table1[[#This Row],[Coupon Frequency2]])*Table1[[#This Row],[Face value]]/100</f>
        <v>1077343.9773657171</v>
      </c>
      <c r="AC465" s="27" t="str">
        <f>IF(Table1[[#This Row],[Ask Price]]&gt;Table1[[#This Row],[Calculated Bond Price]],"Rich","Cheap")</f>
        <v>Cheap</v>
      </c>
      <c r="AD465" s="28">
        <f>PRICE(Table1[[#This Row],[Issue date]],Table1[[#This Row],[Maturity date]],Table1[[#This Row],[Current coupon %]],Table1[[#This Row],[Yield (Annualised)]]+$AE$2,100,Table1[[#This Row],[Coupon Frequency2]])*Table1[[#This Row],[Face value]]/100</f>
        <v>956877.04212080361</v>
      </c>
      <c r="AE465" s="28">
        <f>PRICE(Table1[[#This Row],[Issue date]],Table1[[#This Row],[Maturity date]],Table1[[#This Row],[Current coupon %]],Table1[[#This Row],[Yield (Annualised)]]-$AE$2,100,Table1[[#This Row],[Coupon Frequency2]])*Table1[[#This Row],[Face value]]/100</f>
        <v>1088959.6712139098</v>
      </c>
      <c r="AF465" s="28">
        <f>(Table1[[#This Row],[P (+ shock)]]+Table1[[#This Row],[P (-shock)]]-2*Table1[[#This Row],[Ask Price]])/(2*Table1[[#This Row],[Ask Price]]*($AE$2^2))</f>
        <v>28.611339876045903</v>
      </c>
    </row>
    <row r="466" spans="1:32" x14ac:dyDescent="0.25">
      <c r="A466" s="21" t="s">
        <v>978</v>
      </c>
      <c r="B466" s="3" t="s">
        <v>979</v>
      </c>
      <c r="C466" s="3" t="s">
        <v>19</v>
      </c>
      <c r="D466" s="4">
        <v>45231</v>
      </c>
      <c r="E466" s="4">
        <v>46327</v>
      </c>
      <c r="F466" s="3">
        <v>1000</v>
      </c>
      <c r="G466" s="3" t="s">
        <v>20</v>
      </c>
      <c r="H466" s="3">
        <v>1050.8</v>
      </c>
      <c r="I466" s="3" t="s">
        <v>20</v>
      </c>
      <c r="J466" s="3">
        <v>105.08</v>
      </c>
      <c r="K466" s="3">
        <v>20</v>
      </c>
      <c r="L466" s="5">
        <v>9.2699999999999991E-2</v>
      </c>
      <c r="M466" s="3" t="s">
        <v>21</v>
      </c>
      <c r="N466" s="3">
        <v>410</v>
      </c>
      <c r="O466" s="6">
        <f>Table1[[#This Row],[Current coupon %]]*Table1[[#This Row],[Face value]]/Table1[[#This Row],[Ask Price]]</f>
        <v>8.8218500190331173E-2</v>
      </c>
      <c r="P466" s="3"/>
      <c r="Q466" s="3" t="s">
        <v>22</v>
      </c>
      <c r="R466">
        <f t="shared" si="7"/>
        <v>3</v>
      </c>
      <c r="S466" s="22" cm="1">
        <f t="array" ref="S466">_xlfn.IFS(Table1[[#This Row],[Coupon frequency]]="Semi-annual",2,Table1[[#This Row],[Coupon frequency]]="Quarterly",4,Table1[[#This Row],[Coupon frequency]]="Annual",1,Table1[[#This Row],[Coupon frequency]]="Every 4 months",3,Table1[[#This Row],[Coupon frequency]]="Monthly",12)</f>
        <v>1</v>
      </c>
      <c r="T466">
        <f>Table1[[#This Row],[Term to Maturity (Years)]]*Table1[[#This Row],[Coupon Frequency2]]</f>
        <v>3</v>
      </c>
      <c r="U466">
        <f>Table1[[#This Row],[Face value]]*Table1[[#This Row],[Current coupon %]]/Table1[[#This Row],[Coupon Frequency2]]</f>
        <v>92.699999999999989</v>
      </c>
      <c r="V466" s="23">
        <f>RATE(Table1[[#This Row],[Total No. of Coupons]],Table1[[#This Row],[Coupon Amount]],-Table1[[#This Row],[Ask Price]],Table1[[#This Row],[Face value]])</f>
        <v>7.3228295482332645E-2</v>
      </c>
      <c r="W466" s="24">
        <f>Table1[[#This Row],[IRR]]*Table1[[#This Row],[Coupon Frequency2]]</f>
        <v>7.3228295482332645E-2</v>
      </c>
      <c r="X466" s="25" cm="1">
        <f t="array" ref="X4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6" s="26">
        <f>DURATION(Table1[[#This Row],[Issue date]],Table1[[#This Row],[Maturity date]],Table1[[#This Row],[Current coupon %]],Table1[[#This Row],[Yield (Annualised)]],Table1[[#This Row],[Coupon Frequency2]])</f>
        <v>2.7590110185881516</v>
      </c>
      <c r="Z466" s="26">
        <f>Table1[[#This Row],[Macaulay Duration in Years]]/(1+Table1[[#This Row],[IRR]])</f>
        <v>2.5707587381007233</v>
      </c>
      <c r="AA466" s="27">
        <f>VLOOKUP(Table1[[#This Row],[Yield Cluster]],'[1]Cluster Details'!$B$3:$C$16,2,0)</f>
        <v>7.8548801574189142E-2</v>
      </c>
      <c r="AB466" s="28">
        <f>PRICE(Table1[[#This Row],[Issue date]],Table1[[#This Row],[Maturity date]],Table1[[#This Row],[Current coupon %]],Table1[[#This Row],[Average Cluster Yield]],100,Table1[[#This Row],[Coupon Frequency2]])*Table1[[#This Row],[Face value]]/100</f>
        <v>1036.5647175454499</v>
      </c>
      <c r="AC466" s="27" t="str">
        <f>IF(Table1[[#This Row],[Ask Price]]&gt;Table1[[#This Row],[Calculated Bond Price]],"Rich","Cheap")</f>
        <v>Rich</v>
      </c>
      <c r="AD466" s="28">
        <f>PRICE(Table1[[#This Row],[Issue date]],Table1[[#This Row],[Maturity date]],Table1[[#This Row],[Current coupon %]],Table1[[#This Row],[Yield (Annualised)]]+$AE$2,100,Table1[[#This Row],[Coupon Frequency2]])*Table1[[#This Row],[Face value]]/100</f>
        <v>1024.2680091744396</v>
      </c>
      <c r="AE466" s="28">
        <f>PRICE(Table1[[#This Row],[Issue date]],Table1[[#This Row],[Maturity date]],Table1[[#This Row],[Current coupon %]],Table1[[#This Row],[Yield (Annualised)]]-$AE$2,100,Table1[[#This Row],[Coupon Frequency2]])*Table1[[#This Row],[Face value]]/100</f>
        <v>1078.3100394846153</v>
      </c>
      <c r="AF466" s="28">
        <f>(Table1[[#This Row],[P (+ shock)]]+Table1[[#This Row],[P (-shock)]]-2*Table1[[#This Row],[Ask Price]])/(2*Table1[[#This Row],[Ask Price]]*($AE$2^2))</f>
        <v>4.6538287926095387</v>
      </c>
    </row>
    <row r="467" spans="1:32" x14ac:dyDescent="0.25">
      <c r="A467" s="21" t="s">
        <v>980</v>
      </c>
      <c r="B467" s="3" t="s">
        <v>981</v>
      </c>
      <c r="C467" s="3" t="s">
        <v>19</v>
      </c>
      <c r="D467" s="4">
        <v>42907</v>
      </c>
      <c r="E467" s="4">
        <v>46554</v>
      </c>
      <c r="F467" s="3">
        <v>100000</v>
      </c>
      <c r="G467" s="3" t="s">
        <v>20</v>
      </c>
      <c r="H467" s="3">
        <v>100000</v>
      </c>
      <c r="I467" s="3" t="s">
        <v>20</v>
      </c>
      <c r="J467" s="3">
        <v>100</v>
      </c>
      <c r="K467" s="3">
        <v>10</v>
      </c>
      <c r="L467" s="5">
        <v>8.8000000000000009E-2</v>
      </c>
      <c r="M467" s="3" t="s">
        <v>21</v>
      </c>
      <c r="N467" s="3">
        <v>637</v>
      </c>
      <c r="O467" s="6">
        <f>Table1[[#This Row],[Current coupon %]]*Table1[[#This Row],[Face value]]/Table1[[#This Row],[Ask Price]]</f>
        <v>8.7999999999999995E-2</v>
      </c>
      <c r="P467" s="3"/>
      <c r="Q467" s="3" t="s">
        <v>22</v>
      </c>
      <c r="R467">
        <f t="shared" si="7"/>
        <v>10</v>
      </c>
      <c r="S467" s="22" cm="1">
        <f t="array" ref="S467">_xlfn.IFS(Table1[[#This Row],[Coupon frequency]]="Semi-annual",2,Table1[[#This Row],[Coupon frequency]]="Quarterly",4,Table1[[#This Row],[Coupon frequency]]="Annual",1,Table1[[#This Row],[Coupon frequency]]="Every 4 months",3,Table1[[#This Row],[Coupon frequency]]="Monthly",12)</f>
        <v>1</v>
      </c>
      <c r="T467">
        <f>Table1[[#This Row],[Term to Maturity (Years)]]*Table1[[#This Row],[Coupon Frequency2]]</f>
        <v>10</v>
      </c>
      <c r="U467">
        <f>Table1[[#This Row],[Face value]]*Table1[[#This Row],[Current coupon %]]/Table1[[#This Row],[Coupon Frequency2]]</f>
        <v>8800</v>
      </c>
      <c r="V467" s="23">
        <f>RATE(Table1[[#This Row],[Total No. of Coupons]],Table1[[#This Row],[Coupon Amount]],-Table1[[#This Row],[Ask Price]],Table1[[#This Row],[Face value]])</f>
        <v>8.8000000000000023E-2</v>
      </c>
      <c r="W467" s="24">
        <f>Table1[[#This Row],[IRR]]*Table1[[#This Row],[Coupon Frequency2]]</f>
        <v>8.8000000000000023E-2</v>
      </c>
      <c r="X467" s="25" cm="1">
        <f t="array" ref="X4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7" s="26">
        <f>DURATION(Table1[[#This Row],[Issue date]],Table1[[#This Row],[Maturity date]],Table1[[#This Row],[Current coupon %]],Table1[[#This Row],[Yield (Annualised)]],Table1[[#This Row],[Coupon Frequency2]])</f>
        <v>7.0304133627584031</v>
      </c>
      <c r="Z467" s="26">
        <f>Table1[[#This Row],[Macaulay Duration in Years]]/(1+Table1[[#This Row],[IRR]])</f>
        <v>6.4617769878294142</v>
      </c>
      <c r="AA467" s="27">
        <f>VLOOKUP(Table1[[#This Row],[Yield Cluster]],'[1]Cluster Details'!$B$3:$C$16,2,0)</f>
        <v>7.8548801574189142E-2</v>
      </c>
      <c r="AB467" s="28">
        <f>PRICE(Table1[[#This Row],[Issue date]],Table1[[#This Row],[Maturity date]],Table1[[#This Row],[Current coupon %]],Table1[[#This Row],[Average Cluster Yield]],100,Table1[[#This Row],[Coupon Frequency2]])*Table1[[#This Row],[Face value]]/100</f>
        <v>106373.11610192763</v>
      </c>
      <c r="AC467" s="27" t="str">
        <f>IF(Table1[[#This Row],[Ask Price]]&gt;Table1[[#This Row],[Calculated Bond Price]],"Rich","Cheap")</f>
        <v>Cheap</v>
      </c>
      <c r="AD467" s="28">
        <f>PRICE(Table1[[#This Row],[Issue date]],Table1[[#This Row],[Maturity date]],Table1[[#This Row],[Current coupon %]],Table1[[#This Row],[Yield (Annualised)]]+$AE$2,100,Table1[[#This Row],[Coupon Frequency2]])*Table1[[#This Row],[Face value]]/100</f>
        <v>93801.940455317745</v>
      </c>
      <c r="AE467" s="28">
        <f>PRICE(Table1[[#This Row],[Issue date]],Table1[[#This Row],[Maturity date]],Table1[[#This Row],[Current coupon %]],Table1[[#This Row],[Yield (Annualised)]]-$AE$2,100,Table1[[#This Row],[Coupon Frequency2]])*Table1[[#This Row],[Face value]]/100</f>
        <v>106760.25148777303</v>
      </c>
      <c r="AF467" s="28">
        <f>(Table1[[#This Row],[P (+ shock)]]+Table1[[#This Row],[P (-shock)]]-2*Table1[[#This Row],[Ask Price]])/(2*Table1[[#This Row],[Ask Price]]*($AE$2^2))</f>
        <v>28.109597154537916</v>
      </c>
    </row>
    <row r="468" spans="1:32" x14ac:dyDescent="0.25">
      <c r="A468" s="21" t="s">
        <v>982</v>
      </c>
      <c r="B468" s="3" t="s">
        <v>983</v>
      </c>
      <c r="C468" s="3" t="s">
        <v>19</v>
      </c>
      <c r="D468" s="4">
        <v>45855</v>
      </c>
      <c r="E468" s="4">
        <v>46951</v>
      </c>
      <c r="F468" s="3">
        <v>1000</v>
      </c>
      <c r="G468" s="3" t="s">
        <v>20</v>
      </c>
      <c r="H468" s="3">
        <v>1006</v>
      </c>
      <c r="I468" s="3" t="s">
        <v>20</v>
      </c>
      <c r="J468" s="3">
        <v>100.6</v>
      </c>
      <c r="K468" s="3">
        <v>4</v>
      </c>
      <c r="L468" s="5">
        <v>8.8499999999999995E-2</v>
      </c>
      <c r="M468" s="3" t="s">
        <v>44</v>
      </c>
      <c r="N468" s="3">
        <v>1034</v>
      </c>
      <c r="O468" s="6">
        <f>Table1[[#This Row],[Current coupon %]]*Table1[[#This Row],[Face value]]/Table1[[#This Row],[Ask Price]]</f>
        <v>8.7972166998011928E-2</v>
      </c>
      <c r="P468" s="3"/>
      <c r="Q468" s="3" t="s">
        <v>22</v>
      </c>
      <c r="R468">
        <f t="shared" si="7"/>
        <v>3</v>
      </c>
      <c r="S468" s="22" cm="1">
        <f t="array" ref="S468">_xlfn.IFS(Table1[[#This Row],[Coupon frequency]]="Semi-annual",2,Table1[[#This Row],[Coupon frequency]]="Quarterly",4,Table1[[#This Row],[Coupon frequency]]="Annual",1,Table1[[#This Row],[Coupon frequency]]="Every 4 months",3,Table1[[#This Row],[Coupon frequency]]="Monthly",12)</f>
        <v>4</v>
      </c>
      <c r="T468">
        <f>Table1[[#This Row],[Term to Maturity (Years)]]*Table1[[#This Row],[Coupon Frequency2]]</f>
        <v>12</v>
      </c>
      <c r="U468">
        <f>Table1[[#This Row],[Face value]]*Table1[[#This Row],[Current coupon %]]/Table1[[#This Row],[Coupon Frequency2]]</f>
        <v>22.125</v>
      </c>
      <c r="V468" s="23">
        <f>RATE(Table1[[#This Row],[Total No. of Coupons]],Table1[[#This Row],[Coupon Amount]],-Table1[[#This Row],[Ask Price]],Table1[[#This Row],[Face value]])</f>
        <v>2.1552220056522371E-2</v>
      </c>
      <c r="W468" s="24">
        <f>Table1[[#This Row],[IRR]]*Table1[[#This Row],[Coupon Frequency2]]</f>
        <v>8.6208880226089482E-2</v>
      </c>
      <c r="X468" s="25" cm="1">
        <f t="array" ref="X4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8" s="26">
        <f>DURATION(Table1[[#This Row],[Issue date]],Table1[[#This Row],[Maturity date]],Table1[[#This Row],[Current coupon %]],Table1[[#This Row],[Yield (Annualised)]],Table1[[#This Row],[Coupon Frequency2]])</f>
        <v>2.6686055129329684</v>
      </c>
      <c r="Z468" s="26">
        <f>Table1[[#This Row],[Macaulay Duration in Years]]/(1+Table1[[#This Row],[IRR]])</f>
        <v>2.6123045504079223</v>
      </c>
      <c r="AA468" s="27">
        <f>VLOOKUP(Table1[[#This Row],[Yield Cluster]],'[1]Cluster Details'!$B$3:$C$16,2,0)</f>
        <v>7.8548801574189142E-2</v>
      </c>
      <c r="AB468" s="28">
        <f>PRICE(Table1[[#This Row],[Issue date]],Table1[[#This Row],[Maturity date]],Table1[[#This Row],[Current coupon %]],Table1[[#This Row],[Average Cluster Yield]],100,Table1[[#This Row],[Coupon Frequency2]])*Table1[[#This Row],[Face value]]/100</f>
        <v>1026.3680452432343</v>
      </c>
      <c r="AC468" s="27" t="str">
        <f>IF(Table1[[#This Row],[Ask Price]]&gt;Table1[[#This Row],[Calculated Bond Price]],"Rich","Cheap")</f>
        <v>Cheap</v>
      </c>
      <c r="AD468" s="28">
        <f>PRICE(Table1[[#This Row],[Issue date]],Table1[[#This Row],[Maturity date]],Table1[[#This Row],[Current coupon %]],Table1[[#This Row],[Yield (Annualised)]]+$AE$2,100,Table1[[#This Row],[Coupon Frequency2]])*Table1[[#This Row],[Face value]]/100</f>
        <v>980.11710372938762</v>
      </c>
      <c r="AE468" s="28">
        <f>PRICE(Table1[[#This Row],[Issue date]],Table1[[#This Row],[Maturity date]],Table1[[#This Row],[Current coupon %]],Table1[[#This Row],[Yield (Annualised)]]-$AE$2,100,Table1[[#This Row],[Coupon Frequency2]])*Table1[[#This Row],[Face value]]/100</f>
        <v>1032.6856522304954</v>
      </c>
      <c r="AF468" s="28">
        <f>(Table1[[#This Row],[P (+ shock)]]+Table1[[#This Row],[P (-shock)]]-2*Table1[[#This Row],[Ask Price]])/(2*Table1[[#This Row],[Ask Price]]*($AE$2^2))</f>
        <v>3.9898407548863966</v>
      </c>
    </row>
    <row r="469" spans="1:32" x14ac:dyDescent="0.25">
      <c r="A469" s="21" t="s">
        <v>984</v>
      </c>
      <c r="B469" s="3" t="s">
        <v>985</v>
      </c>
      <c r="C469" s="3" t="s">
        <v>19</v>
      </c>
      <c r="D469" s="4">
        <v>45595</v>
      </c>
      <c r="E469" s="4">
        <v>46325</v>
      </c>
      <c r="F469" s="3">
        <v>1000</v>
      </c>
      <c r="G469" s="3" t="s">
        <v>20</v>
      </c>
      <c r="H469" s="3">
        <v>1069</v>
      </c>
      <c r="I469" s="3" t="s">
        <v>20</v>
      </c>
      <c r="J469" s="3">
        <v>106.899999999999</v>
      </c>
      <c r="K469" s="3">
        <v>2179</v>
      </c>
      <c r="L469" s="5">
        <v>9.4E-2</v>
      </c>
      <c r="M469" s="3" t="s">
        <v>21</v>
      </c>
      <c r="N469" s="3">
        <v>408</v>
      </c>
      <c r="O469" s="6">
        <f>Table1[[#This Row],[Current coupon %]]*Table1[[#This Row],[Face value]]/Table1[[#This Row],[Ask Price]]</f>
        <v>8.7932647333956976E-2</v>
      </c>
      <c r="P469" s="3"/>
      <c r="Q469" s="3" t="s">
        <v>22</v>
      </c>
      <c r="R469">
        <f t="shared" si="7"/>
        <v>2</v>
      </c>
      <c r="S469" s="22" cm="1">
        <f t="array" ref="S469">_xlfn.IFS(Table1[[#This Row],[Coupon frequency]]="Semi-annual",2,Table1[[#This Row],[Coupon frequency]]="Quarterly",4,Table1[[#This Row],[Coupon frequency]]="Annual",1,Table1[[#This Row],[Coupon frequency]]="Every 4 months",3,Table1[[#This Row],[Coupon frequency]]="Monthly",12)</f>
        <v>1</v>
      </c>
      <c r="T469">
        <f>Table1[[#This Row],[Term to Maturity (Years)]]*Table1[[#This Row],[Coupon Frequency2]]</f>
        <v>2</v>
      </c>
      <c r="U469">
        <f>Table1[[#This Row],[Face value]]*Table1[[#This Row],[Current coupon %]]/Table1[[#This Row],[Coupon Frequency2]]</f>
        <v>94</v>
      </c>
      <c r="V469" s="23">
        <f>RATE(Table1[[#This Row],[Total No. of Coupons]],Table1[[#This Row],[Coupon Amount]],-Table1[[#This Row],[Ask Price]],Table1[[#This Row],[Face value]])</f>
        <v>5.6546878483737573E-2</v>
      </c>
      <c r="W469" s="24">
        <f>Table1[[#This Row],[IRR]]*Table1[[#This Row],[Coupon Frequency2]]</f>
        <v>5.6546878483737573E-2</v>
      </c>
      <c r="X469" s="25" cm="1">
        <f t="array" ref="X4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69" s="26">
        <f>DURATION(Table1[[#This Row],[Issue date]],Table1[[#This Row],[Maturity date]],Table1[[#This Row],[Current coupon %]],Table1[[#This Row],[Yield (Annualised)]],Table1[[#This Row],[Coupon Frequency2]])</f>
        <v>1.9167735486946271</v>
      </c>
      <c r="Z469" s="26">
        <f>Table1[[#This Row],[Macaulay Duration in Years]]/(1+Table1[[#This Row],[IRR]])</f>
        <v>1.8141869402381943</v>
      </c>
      <c r="AA469" s="27">
        <f>VLOOKUP(Table1[[#This Row],[Yield Cluster]],'[1]Cluster Details'!$B$3:$C$16,2,0)</f>
        <v>7.8548801574189142E-2</v>
      </c>
      <c r="AB469" s="28">
        <f>PRICE(Table1[[#This Row],[Issue date]],Table1[[#This Row],[Maturity date]],Table1[[#This Row],[Current coupon %]],Table1[[#This Row],[Average Cluster Yield]],100,Table1[[#This Row],[Coupon Frequency2]])*Table1[[#This Row],[Face value]]/100</f>
        <v>1027.6084988973716</v>
      </c>
      <c r="AC469" s="27" t="str">
        <f>IF(Table1[[#This Row],[Ask Price]]&gt;Table1[[#This Row],[Calculated Bond Price]],"Rich","Cheap")</f>
        <v>Rich</v>
      </c>
      <c r="AD469" s="28">
        <f>PRICE(Table1[[#This Row],[Issue date]],Table1[[#This Row],[Maturity date]],Table1[[#This Row],[Current coupon %]],Table1[[#This Row],[Yield (Annualised)]]+$AE$2,100,Table1[[#This Row],[Coupon Frequency2]])*Table1[[#This Row],[Face value]]/100</f>
        <v>1049.87433245648</v>
      </c>
      <c r="AE469" s="28">
        <f>PRICE(Table1[[#This Row],[Issue date]],Table1[[#This Row],[Maturity date]],Table1[[#This Row],[Current coupon %]],Table1[[#This Row],[Yield (Annualised)]]-$AE$2,100,Table1[[#This Row],[Coupon Frequency2]])*Table1[[#This Row],[Face value]]/100</f>
        <v>1088.6684485937703</v>
      </c>
      <c r="AF469" s="28">
        <f>(Table1[[#This Row],[P (+ shock)]]+Table1[[#This Row],[P (-shock)]]-2*Table1[[#This Row],[Ask Price]])/(2*Table1[[#This Row],[Ask Price]]*($AE$2^2))</f>
        <v>2.5387326952787479</v>
      </c>
    </row>
    <row r="470" spans="1:32" x14ac:dyDescent="0.25">
      <c r="A470" s="21" t="s">
        <v>986</v>
      </c>
      <c r="B470" s="3" t="s">
        <v>987</v>
      </c>
      <c r="C470" s="3" t="s">
        <v>19</v>
      </c>
      <c r="D470" s="4">
        <v>44958</v>
      </c>
      <c r="E470" s="4">
        <v>46054</v>
      </c>
      <c r="F470" s="3">
        <v>100000</v>
      </c>
      <c r="G470" s="3" t="s">
        <v>20</v>
      </c>
      <c r="H470" s="3">
        <v>105585.38</v>
      </c>
      <c r="I470" s="3" t="s">
        <v>20</v>
      </c>
      <c r="J470" s="3">
        <v>105.58538</v>
      </c>
      <c r="K470" s="3">
        <v>5</v>
      </c>
      <c r="L470" s="5">
        <v>9.2499999999999999E-2</v>
      </c>
      <c r="M470" s="3" t="s">
        <v>21</v>
      </c>
      <c r="N470" s="3">
        <v>137</v>
      </c>
      <c r="O470" s="6">
        <f>Table1[[#This Row],[Current coupon %]]*Table1[[#This Row],[Face value]]/Table1[[#This Row],[Ask Price]]</f>
        <v>8.7606825869263341E-2</v>
      </c>
      <c r="P470" s="3"/>
      <c r="Q470" s="3" t="s">
        <v>22</v>
      </c>
      <c r="R470">
        <f t="shared" si="7"/>
        <v>3</v>
      </c>
      <c r="S470" s="22" cm="1">
        <f t="array" ref="S470">_xlfn.IFS(Table1[[#This Row],[Coupon frequency]]="Semi-annual",2,Table1[[#This Row],[Coupon frequency]]="Quarterly",4,Table1[[#This Row],[Coupon frequency]]="Annual",1,Table1[[#This Row],[Coupon frequency]]="Every 4 months",3,Table1[[#This Row],[Coupon frequency]]="Monthly",12)</f>
        <v>1</v>
      </c>
      <c r="T470">
        <f>Table1[[#This Row],[Term to Maturity (Years)]]*Table1[[#This Row],[Coupon Frequency2]]</f>
        <v>3</v>
      </c>
      <c r="U470">
        <f>Table1[[#This Row],[Face value]]*Table1[[#This Row],[Current coupon %]]/Table1[[#This Row],[Coupon Frequency2]]</f>
        <v>9250</v>
      </c>
      <c r="V470" s="23">
        <f>RATE(Table1[[#This Row],[Total No. of Coupons]],Table1[[#This Row],[Coupon Amount]],-Table1[[#This Row],[Ask Price]],Table1[[#This Row],[Face value]])</f>
        <v>7.1171256676923922E-2</v>
      </c>
      <c r="W470" s="24">
        <f>Table1[[#This Row],[IRR]]*Table1[[#This Row],[Coupon Frequency2]]</f>
        <v>7.1171256676923922E-2</v>
      </c>
      <c r="X470" s="25" cm="1">
        <f t="array" ref="X4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0" s="26">
        <f>DURATION(Table1[[#This Row],[Issue date]],Table1[[#This Row],[Maturity date]],Table1[[#This Row],[Current coupon %]],Table1[[#This Row],[Yield (Annualised)]],Table1[[#This Row],[Coupon Frequency2]])</f>
        <v>2.7600760263942563</v>
      </c>
      <c r="Z470" s="26">
        <f>Table1[[#This Row],[Macaulay Duration in Years]]/(1+Table1[[#This Row],[IRR]])</f>
        <v>2.5766897769053219</v>
      </c>
      <c r="AA470" s="27">
        <f>VLOOKUP(Table1[[#This Row],[Yield Cluster]],'[1]Cluster Details'!$B$3:$C$16,2,0)</f>
        <v>7.8548801574189142E-2</v>
      </c>
      <c r="AB470" s="28">
        <f>PRICE(Table1[[#This Row],[Issue date]],Table1[[#This Row],[Maturity date]],Table1[[#This Row],[Current coupon %]],Table1[[#This Row],[Average Cluster Yield]],100,Table1[[#This Row],[Coupon Frequency2]])*Table1[[#This Row],[Face value]]/100</f>
        <v>103604.79455174532</v>
      </c>
      <c r="AC470" s="27" t="str">
        <f>IF(Table1[[#This Row],[Ask Price]]&gt;Table1[[#This Row],[Calculated Bond Price]],"Rich","Cheap")</f>
        <v>Rich</v>
      </c>
      <c r="AD470" s="28">
        <f>PRICE(Table1[[#This Row],[Issue date]],Table1[[#This Row],[Maturity date]],Table1[[#This Row],[Current coupon %]],Table1[[#This Row],[Yield (Annualised)]]+$AE$2,100,Table1[[#This Row],[Coupon Frequency2]])*Table1[[#This Row],[Face value]]/100</f>
        <v>102913.36787192344</v>
      </c>
      <c r="AE470" s="28">
        <f>PRICE(Table1[[#This Row],[Issue date]],Table1[[#This Row],[Maturity date]],Table1[[#This Row],[Current coupon %]],Table1[[#This Row],[Yield (Annualised)]]-$AE$2,100,Table1[[#This Row],[Coupon Frequency2]])*Table1[[#This Row],[Face value]]/100</f>
        <v>108356.09648645339</v>
      </c>
      <c r="AF470" s="28">
        <f>(Table1[[#This Row],[P (+ shock)]]+Table1[[#This Row],[P (-shock)]]-2*Table1[[#This Row],[Ask Price]])/(2*Table1[[#This Row],[Ask Price]]*($AE$2^2))</f>
        <v>4.6741489388409896</v>
      </c>
    </row>
    <row r="471" spans="1:32" x14ac:dyDescent="0.25">
      <c r="A471" s="21" t="s">
        <v>988</v>
      </c>
      <c r="B471" s="3" t="s">
        <v>989</v>
      </c>
      <c r="C471" s="3" t="s">
        <v>19</v>
      </c>
      <c r="D471" s="4">
        <v>42527</v>
      </c>
      <c r="E471" s="4">
        <v>46179</v>
      </c>
      <c r="F471" s="3">
        <v>1000</v>
      </c>
      <c r="G471" s="3" t="s">
        <v>20</v>
      </c>
      <c r="H471" s="3">
        <v>1027.95</v>
      </c>
      <c r="I471" s="3" t="s">
        <v>20</v>
      </c>
      <c r="J471" s="3">
        <v>102.795</v>
      </c>
      <c r="K471" s="3">
        <v>553</v>
      </c>
      <c r="L471" s="5">
        <v>0.09</v>
      </c>
      <c r="M471" s="3" t="s">
        <v>21</v>
      </c>
      <c r="N471" s="3">
        <v>262</v>
      </c>
      <c r="O471" s="6">
        <f>Table1[[#This Row],[Current coupon %]]*Table1[[#This Row],[Face value]]/Table1[[#This Row],[Ask Price]]</f>
        <v>8.7552896541660583E-2</v>
      </c>
      <c r="P471" s="3"/>
      <c r="Q471" s="3" t="s">
        <v>22</v>
      </c>
      <c r="R471">
        <f t="shared" si="7"/>
        <v>10</v>
      </c>
      <c r="S471" s="22" cm="1">
        <f t="array" ref="S471">_xlfn.IFS(Table1[[#This Row],[Coupon frequency]]="Semi-annual",2,Table1[[#This Row],[Coupon frequency]]="Quarterly",4,Table1[[#This Row],[Coupon frequency]]="Annual",1,Table1[[#This Row],[Coupon frequency]]="Every 4 months",3,Table1[[#This Row],[Coupon frequency]]="Monthly",12)</f>
        <v>1</v>
      </c>
      <c r="T471">
        <f>Table1[[#This Row],[Term to Maturity (Years)]]*Table1[[#This Row],[Coupon Frequency2]]</f>
        <v>10</v>
      </c>
      <c r="U471">
        <f>Table1[[#This Row],[Face value]]*Table1[[#This Row],[Current coupon %]]/Table1[[#This Row],[Coupon Frequency2]]</f>
        <v>90</v>
      </c>
      <c r="V471" s="23">
        <f>RATE(Table1[[#This Row],[Total No. of Coupons]],Table1[[#This Row],[Coupon Amount]],-Table1[[#This Row],[Ask Price]],Table1[[#This Row],[Face value]])</f>
        <v>8.5726407226172252E-2</v>
      </c>
      <c r="W471" s="24">
        <f>Table1[[#This Row],[IRR]]*Table1[[#This Row],[Coupon Frequency2]]</f>
        <v>8.5726407226172252E-2</v>
      </c>
      <c r="X471" s="25" cm="1">
        <f t="array" ref="X4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1" s="26">
        <f>DURATION(Table1[[#This Row],[Issue date]],Table1[[#This Row],[Maturity date]],Table1[[#This Row],[Current coupon %]],Table1[[#This Row],[Yield (Annualised)]],Table1[[#This Row],[Coupon Frequency2]])</f>
        <v>7.0390595561396117</v>
      </c>
      <c r="Z471" s="26">
        <f>Table1[[#This Row],[Macaulay Duration in Years]]/(1+Table1[[#This Row],[IRR]])</f>
        <v>6.4832719452067957</v>
      </c>
      <c r="AA471" s="27">
        <f>VLOOKUP(Table1[[#This Row],[Yield Cluster]],'[1]Cluster Details'!$B$3:$C$16,2,0)</f>
        <v>7.8548801574189142E-2</v>
      </c>
      <c r="AB471" s="28">
        <f>PRICE(Table1[[#This Row],[Issue date]],Table1[[#This Row],[Maturity date]],Table1[[#This Row],[Current coupon %]],Table1[[#This Row],[Average Cluster Yield]],100,Table1[[#This Row],[Coupon Frequency2]])*Table1[[#This Row],[Face value]]/100</f>
        <v>1077.3439773657171</v>
      </c>
      <c r="AC471" s="27" t="str">
        <f>IF(Table1[[#This Row],[Ask Price]]&gt;Table1[[#This Row],[Calculated Bond Price]],"Rich","Cheap")</f>
        <v>Cheap</v>
      </c>
      <c r="AD471" s="28">
        <f>PRICE(Table1[[#This Row],[Issue date]],Table1[[#This Row],[Maturity date]],Table1[[#This Row],[Current coupon %]],Table1[[#This Row],[Yield (Annualised)]]+$AE$2,100,Table1[[#This Row],[Coupon Frequency2]])*Table1[[#This Row],[Face value]]/100</f>
        <v>964.15833674554847</v>
      </c>
      <c r="AE471" s="28">
        <f>PRICE(Table1[[#This Row],[Issue date]],Table1[[#This Row],[Maturity date]],Table1[[#This Row],[Current coupon %]],Table1[[#This Row],[Yield (Annualised)]]-$AE$2,100,Table1[[#This Row],[Coupon Frequency2]])*Table1[[#This Row],[Face value]]/100</f>
        <v>1097.6509555218763</v>
      </c>
      <c r="AF471" s="28">
        <f>(Table1[[#This Row],[P (+ shock)]]+Table1[[#This Row],[P (-shock)]]-2*Table1[[#This Row],[Ask Price]])/(2*Table1[[#This Row],[Ask Price]]*($AE$2^2))</f>
        <v>28.743091918016031</v>
      </c>
    </row>
    <row r="472" spans="1:32" x14ac:dyDescent="0.25">
      <c r="A472" s="21" t="s">
        <v>990</v>
      </c>
      <c r="B472" s="3" t="s">
        <v>991</v>
      </c>
      <c r="C472" s="3" t="s">
        <v>19</v>
      </c>
      <c r="D472" s="4">
        <v>44868</v>
      </c>
      <c r="E472" s="4">
        <v>45964</v>
      </c>
      <c r="F472" s="3">
        <v>1000</v>
      </c>
      <c r="G472" s="3" t="s">
        <v>20</v>
      </c>
      <c r="H472" s="3">
        <v>1064.2</v>
      </c>
      <c r="I472" s="3" t="s">
        <v>20</v>
      </c>
      <c r="J472" s="3">
        <v>106.42</v>
      </c>
      <c r="K472" s="3">
        <v>50</v>
      </c>
      <c r="L472" s="5">
        <v>9.3000000000000013E-2</v>
      </c>
      <c r="M472" s="3" t="s">
        <v>21</v>
      </c>
      <c r="N472" s="3">
        <v>47</v>
      </c>
      <c r="O472" s="6">
        <f>Table1[[#This Row],[Current coupon %]]*Table1[[#This Row],[Face value]]/Table1[[#This Row],[Ask Price]]</f>
        <v>8.738958842322872E-2</v>
      </c>
      <c r="P472" s="3" t="s">
        <v>25</v>
      </c>
      <c r="Q472" s="3" t="s">
        <v>22</v>
      </c>
      <c r="R472">
        <f t="shared" si="7"/>
        <v>3</v>
      </c>
      <c r="S472" s="22" cm="1">
        <f t="array" ref="S472">_xlfn.IFS(Table1[[#This Row],[Coupon frequency]]="Semi-annual",2,Table1[[#This Row],[Coupon frequency]]="Quarterly",4,Table1[[#This Row],[Coupon frequency]]="Annual",1,Table1[[#This Row],[Coupon frequency]]="Every 4 months",3,Table1[[#This Row],[Coupon frequency]]="Monthly",12)</f>
        <v>1</v>
      </c>
      <c r="T472">
        <f>Table1[[#This Row],[Term to Maturity (Years)]]*Table1[[#This Row],[Coupon Frequency2]]</f>
        <v>3</v>
      </c>
      <c r="U472">
        <f>Table1[[#This Row],[Face value]]*Table1[[#This Row],[Current coupon %]]/Table1[[#This Row],[Coupon Frequency2]]</f>
        <v>93.000000000000014</v>
      </c>
      <c r="V472" s="23">
        <f>RATE(Table1[[#This Row],[Total No. of Coupons]],Table1[[#This Row],[Coupon Amount]],-Table1[[#This Row],[Ask Price]],Table1[[#This Row],[Face value]])</f>
        <v>6.8599073289497395E-2</v>
      </c>
      <c r="W472" s="24">
        <f>Table1[[#This Row],[IRR]]*Table1[[#This Row],[Coupon Frequency2]]</f>
        <v>6.8599073289497395E-2</v>
      </c>
      <c r="X472" s="25" cm="1">
        <f t="array" ref="X4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2" s="26">
        <f>DURATION(Table1[[#This Row],[Issue date]],Table1[[#This Row],[Maturity date]],Table1[[#This Row],[Current coupon %]],Table1[[#This Row],[Yield (Annualised)]],Table1[[#This Row],[Coupon Frequency2]])</f>
        <v>2.7599111135702703</v>
      </c>
      <c r="Z472" s="26">
        <f>Table1[[#This Row],[Macaulay Duration in Years]]/(1+Table1[[#This Row],[IRR]])</f>
        <v>2.5827377007490391</v>
      </c>
      <c r="AA472" s="27">
        <f>VLOOKUP(Table1[[#This Row],[Yield Cluster]],'[1]Cluster Details'!$B$3:$C$16,2,0)</f>
        <v>7.8548801574189142E-2</v>
      </c>
      <c r="AB472" s="28">
        <f>PRICE(Table1[[#This Row],[Issue date]],Table1[[#This Row],[Maturity date]],Table1[[#This Row],[Current coupon %]],Table1[[#This Row],[Average Cluster Yield]],100,Table1[[#This Row],[Coupon Frequency2]])*Table1[[#This Row],[Face value]]/100</f>
        <v>1037.3398755874448</v>
      </c>
      <c r="AC472" s="27" t="str">
        <f>IF(Table1[[#This Row],[Ask Price]]&gt;Table1[[#This Row],[Calculated Bond Price]],"Rich","Cheap")</f>
        <v>Rich</v>
      </c>
      <c r="AD472" s="28">
        <f>PRICE(Table1[[#This Row],[Issue date]],Table1[[#This Row],[Maturity date]],Table1[[#This Row],[Current coupon %]],Table1[[#This Row],[Yield (Annualised)]]+$AE$2,100,Table1[[#This Row],[Coupon Frequency2]])*Table1[[#This Row],[Face value]]/100</f>
        <v>1037.2065993610188</v>
      </c>
      <c r="AE472" s="28">
        <f>PRICE(Table1[[#This Row],[Issue date]],Table1[[#This Row],[Maturity date]],Table1[[#This Row],[Current coupon %]],Table1[[#This Row],[Yield (Annualised)]]-$AE$2,100,Table1[[#This Row],[Coupon Frequency2]])*Table1[[#This Row],[Face value]]/100</f>
        <v>1092.1929491533995</v>
      </c>
      <c r="AF472" s="28">
        <f>(Table1[[#This Row],[P (+ shock)]]+Table1[[#This Row],[P (-shock)]]-2*Table1[[#This Row],[Ask Price]])/(2*Table1[[#This Row],[Ask Price]]*($AE$2^2))</f>
        <v>4.6962437249490963</v>
      </c>
    </row>
    <row r="473" spans="1:32" x14ac:dyDescent="0.25">
      <c r="A473" s="21" t="s">
        <v>992</v>
      </c>
      <c r="B473" s="3" t="s">
        <v>993</v>
      </c>
      <c r="C473" s="3" t="s">
        <v>19</v>
      </c>
      <c r="D473" s="4">
        <v>42527</v>
      </c>
      <c r="E473" s="4">
        <v>46179</v>
      </c>
      <c r="F473" s="3">
        <v>1000</v>
      </c>
      <c r="G473" s="3" t="s">
        <v>20</v>
      </c>
      <c r="H473" s="3">
        <v>1007</v>
      </c>
      <c r="I473" s="3" t="s">
        <v>20</v>
      </c>
      <c r="J473" s="3">
        <v>100.69999999999899</v>
      </c>
      <c r="K473" s="3">
        <v>199</v>
      </c>
      <c r="L473" s="5">
        <v>8.8000000000000009E-2</v>
      </c>
      <c r="M473" s="3" t="s">
        <v>21</v>
      </c>
      <c r="N473" s="3">
        <v>262</v>
      </c>
      <c r="O473" s="6">
        <f>Table1[[#This Row],[Current coupon %]]*Table1[[#This Row],[Face value]]/Table1[[#This Row],[Ask Price]]</f>
        <v>8.7388282025819275E-2</v>
      </c>
      <c r="P473" s="3"/>
      <c r="Q473" s="3" t="s">
        <v>22</v>
      </c>
      <c r="R473">
        <f t="shared" si="7"/>
        <v>10</v>
      </c>
      <c r="S473" s="22" cm="1">
        <f t="array" ref="S473">_xlfn.IFS(Table1[[#This Row],[Coupon frequency]]="Semi-annual",2,Table1[[#This Row],[Coupon frequency]]="Quarterly",4,Table1[[#This Row],[Coupon frequency]]="Annual",1,Table1[[#This Row],[Coupon frequency]]="Every 4 months",3,Table1[[#This Row],[Coupon frequency]]="Monthly",12)</f>
        <v>1</v>
      </c>
      <c r="T473">
        <f>Table1[[#This Row],[Term to Maturity (Years)]]*Table1[[#This Row],[Coupon Frequency2]]</f>
        <v>10</v>
      </c>
      <c r="U473">
        <f>Table1[[#This Row],[Face value]]*Table1[[#This Row],[Current coupon %]]/Table1[[#This Row],[Coupon Frequency2]]</f>
        <v>88.000000000000014</v>
      </c>
      <c r="V473" s="23">
        <f>RATE(Table1[[#This Row],[Total No. of Coupons]],Table1[[#This Row],[Coupon Amount]],-Table1[[#This Row],[Ask Price]],Table1[[#This Row],[Face value]])</f>
        <v>8.6923982670223457E-2</v>
      </c>
      <c r="W473" s="24">
        <f>Table1[[#This Row],[IRR]]*Table1[[#This Row],[Coupon Frequency2]]</f>
        <v>8.6923982670223457E-2</v>
      </c>
      <c r="X473" s="25" cm="1">
        <f t="array" ref="X47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3" s="26">
        <f>DURATION(Table1[[#This Row],[Issue date]],Table1[[#This Row],[Maturity date]],Table1[[#This Row],[Current coupon %]],Table1[[#This Row],[Yield (Annualised)]],Table1[[#This Row],[Coupon Frequency2]])</f>
        <v>7.0553075856221668</v>
      </c>
      <c r="Z473" s="26">
        <f>Table1[[#This Row],[Macaulay Duration in Years]]/(1+Table1[[#This Row],[IRR]])</f>
        <v>6.4910772952948737</v>
      </c>
      <c r="AA473" s="27">
        <f>VLOOKUP(Table1[[#This Row],[Yield Cluster]],'[1]Cluster Details'!$B$3:$C$16,2,0)</f>
        <v>7.8548801574189142E-2</v>
      </c>
      <c r="AB473" s="28">
        <f>PRICE(Table1[[#This Row],[Issue date]],Table1[[#This Row],[Maturity date]],Table1[[#This Row],[Current coupon %]],Table1[[#This Row],[Average Cluster Yield]],100,Table1[[#This Row],[Coupon Frequency2]])*Table1[[#This Row],[Face value]]/100</f>
        <v>1063.8355261993513</v>
      </c>
      <c r="AC473" s="27" t="str">
        <f>IF(Table1[[#This Row],[Ask Price]]&gt;Table1[[#This Row],[Calculated Bond Price]],"Rich","Cheap")</f>
        <v>Cheap</v>
      </c>
      <c r="AD473" s="28">
        <f>PRICE(Table1[[#This Row],[Issue date]],Table1[[#This Row],[Maturity date]],Table1[[#This Row],[Current coupon %]],Table1[[#This Row],[Yield (Annualised)]]+$AE$2,100,Table1[[#This Row],[Coupon Frequency2]])*Table1[[#This Row],[Face value]]/100</f>
        <v>944.43384676531684</v>
      </c>
      <c r="AE473" s="28">
        <f>PRICE(Table1[[#This Row],[Issue date]],Table1[[#This Row],[Maturity date]],Table1[[#This Row],[Current coupon %]],Table1[[#This Row],[Yield (Annualised)]]-$AE$2,100,Table1[[#This Row],[Coupon Frequency2]])*Table1[[#This Row],[Face value]]/100</f>
        <v>1075.363264644936</v>
      </c>
      <c r="AF473" s="28">
        <f>(Table1[[#This Row],[P (+ shock)]]+Table1[[#This Row],[P (-shock)]]-2*Table1[[#This Row],[Ask Price]])/(2*Table1[[#This Row],[Ask Price]]*($AE$2^2))</f>
        <v>28.784068571265689</v>
      </c>
    </row>
    <row r="474" spans="1:32" x14ac:dyDescent="0.25">
      <c r="A474" s="21" t="s">
        <v>994</v>
      </c>
      <c r="B474" s="3" t="s">
        <v>995</v>
      </c>
      <c r="C474" s="3" t="s">
        <v>19</v>
      </c>
      <c r="D474" s="4">
        <v>44950</v>
      </c>
      <c r="E474" s="4">
        <v>46776</v>
      </c>
      <c r="F474" s="3">
        <v>1000</v>
      </c>
      <c r="G474" s="3" t="s">
        <v>20</v>
      </c>
      <c r="H474" s="3">
        <v>1030</v>
      </c>
      <c r="I474" s="3" t="s">
        <v>20</v>
      </c>
      <c r="J474" s="3">
        <v>103</v>
      </c>
      <c r="K474" s="3">
        <v>75</v>
      </c>
      <c r="L474" s="5">
        <v>0.09</v>
      </c>
      <c r="M474" s="3" t="s">
        <v>21</v>
      </c>
      <c r="N474" s="3">
        <v>859</v>
      </c>
      <c r="O474" s="6">
        <f>Table1[[#This Row],[Current coupon %]]*Table1[[#This Row],[Face value]]/Table1[[#This Row],[Ask Price]]</f>
        <v>8.7378640776699032E-2</v>
      </c>
      <c r="P474" s="3" t="s">
        <v>25</v>
      </c>
      <c r="Q474" s="3" t="s">
        <v>22</v>
      </c>
      <c r="R474">
        <f t="shared" si="7"/>
        <v>5</v>
      </c>
      <c r="S474" s="22" cm="1">
        <f t="array" ref="S474">_xlfn.IFS(Table1[[#This Row],[Coupon frequency]]="Semi-annual",2,Table1[[#This Row],[Coupon frequency]]="Quarterly",4,Table1[[#This Row],[Coupon frequency]]="Annual",1,Table1[[#This Row],[Coupon frequency]]="Every 4 months",3,Table1[[#This Row],[Coupon frequency]]="Monthly",12)</f>
        <v>1</v>
      </c>
      <c r="T474">
        <f>Table1[[#This Row],[Term to Maturity (Years)]]*Table1[[#This Row],[Coupon Frequency2]]</f>
        <v>5</v>
      </c>
      <c r="U474">
        <f>Table1[[#This Row],[Face value]]*Table1[[#This Row],[Current coupon %]]/Table1[[#This Row],[Coupon Frequency2]]</f>
        <v>90</v>
      </c>
      <c r="V474" s="23">
        <f>RATE(Table1[[#This Row],[Total No. of Coupons]],Table1[[#This Row],[Coupon Amount]],-Table1[[#This Row],[Ask Price]],Table1[[#This Row],[Face value]])</f>
        <v>8.2437964201701616E-2</v>
      </c>
      <c r="W474" s="24">
        <f>Table1[[#This Row],[IRR]]*Table1[[#This Row],[Coupon Frequency2]]</f>
        <v>8.2437964201701616E-2</v>
      </c>
      <c r="X474" s="25" cm="1">
        <f t="array" ref="X47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4" s="26">
        <f>DURATION(Table1[[#This Row],[Issue date]],Table1[[#This Row],[Maturity date]],Table1[[#This Row],[Current coupon %]],Table1[[#This Row],[Yield (Annualised)]],Table1[[#This Row],[Coupon Frequency2]])</f>
        <v>4.2519342675233514</v>
      </c>
      <c r="Z474" s="26">
        <f>Table1[[#This Row],[Macaulay Duration in Years]]/(1+Table1[[#This Row],[IRR]])</f>
        <v>3.9281089615691318</v>
      </c>
      <c r="AA474" s="27">
        <f>VLOOKUP(Table1[[#This Row],[Yield Cluster]],'[1]Cluster Details'!$B$3:$C$16,2,0)</f>
        <v>7.8548801574189142E-2</v>
      </c>
      <c r="AB474" s="28">
        <f>PRICE(Table1[[#This Row],[Issue date]],Table1[[#This Row],[Maturity date]],Table1[[#This Row],[Current coupon %]],Table1[[#This Row],[Average Cluster Yield]],100,Table1[[#This Row],[Coupon Frequency2]])*Table1[[#This Row],[Face value]]/100</f>
        <v>1045.8967255033767</v>
      </c>
      <c r="AC474" s="27" t="str">
        <f>IF(Table1[[#This Row],[Ask Price]]&gt;Table1[[#This Row],[Calculated Bond Price]],"Rich","Cheap")</f>
        <v>Cheap</v>
      </c>
      <c r="AD474" s="28">
        <f>PRICE(Table1[[#This Row],[Issue date]],Table1[[#This Row],[Maturity date]],Table1[[#This Row],[Current coupon %]],Table1[[#This Row],[Yield (Annualised)]]+$AE$2,100,Table1[[#This Row],[Coupon Frequency2]])*Table1[[#This Row],[Face value]]/100</f>
        <v>990.57685279535565</v>
      </c>
      <c r="AE474" s="28">
        <f>PRICE(Table1[[#This Row],[Issue date]],Table1[[#This Row],[Maturity date]],Table1[[#This Row],[Current coupon %]],Table1[[#This Row],[Yield (Annualised)]]-$AE$2,100,Table1[[#This Row],[Coupon Frequency2]])*Table1[[#This Row],[Face value]]/100</f>
        <v>1071.540198574957</v>
      </c>
      <c r="AF474" s="28">
        <f>(Table1[[#This Row],[P (+ shock)]]+Table1[[#This Row],[P (-shock)]]-2*Table1[[#This Row],[Ask Price]])/(2*Table1[[#This Row],[Ask Price]]*($AE$2^2))</f>
        <v>10.276948399576529</v>
      </c>
    </row>
    <row r="475" spans="1:32" x14ac:dyDescent="0.25">
      <c r="A475" s="21" t="s">
        <v>996</v>
      </c>
      <c r="B475" s="3" t="s">
        <v>997</v>
      </c>
      <c r="C475" s="3" t="s">
        <v>19</v>
      </c>
      <c r="D475" s="4">
        <v>42317</v>
      </c>
      <c r="E475" s="4">
        <v>45970</v>
      </c>
      <c r="F475" s="3">
        <v>100000</v>
      </c>
      <c r="G475" s="3" t="s">
        <v>20</v>
      </c>
      <c r="H475" s="3">
        <v>101000</v>
      </c>
      <c r="I475" s="3" t="s">
        <v>20</v>
      </c>
      <c r="J475" s="3">
        <v>101</v>
      </c>
      <c r="K475" s="3">
        <v>10</v>
      </c>
      <c r="L475" s="5">
        <v>8.8100000000000012E-2</v>
      </c>
      <c r="M475" s="3" t="s">
        <v>53</v>
      </c>
      <c r="N475" s="3">
        <v>53</v>
      </c>
      <c r="O475" s="6">
        <f>Table1[[#This Row],[Current coupon %]]*Table1[[#This Row],[Face value]]/Table1[[#This Row],[Ask Price]]</f>
        <v>8.722772277227725E-2</v>
      </c>
      <c r="P475" s="3"/>
      <c r="Q475" s="3" t="s">
        <v>22</v>
      </c>
      <c r="R475">
        <f t="shared" si="7"/>
        <v>10</v>
      </c>
      <c r="S475" s="22" cm="1">
        <f t="array" ref="S475">_xlfn.IFS(Table1[[#This Row],[Coupon frequency]]="Semi-annual",2,Table1[[#This Row],[Coupon frequency]]="Quarterly",4,Table1[[#This Row],[Coupon frequency]]="Annual",1,Table1[[#This Row],[Coupon frequency]]="Every 4 months",3,Table1[[#This Row],[Coupon frequency]]="Monthly",12)</f>
        <v>2</v>
      </c>
      <c r="T475">
        <f>Table1[[#This Row],[Term to Maturity (Years)]]*Table1[[#This Row],[Coupon Frequency2]]</f>
        <v>20</v>
      </c>
      <c r="U475">
        <f>Table1[[#This Row],[Face value]]*Table1[[#This Row],[Current coupon %]]/Table1[[#This Row],[Coupon Frequency2]]</f>
        <v>4405.0000000000009</v>
      </c>
      <c r="V475" s="23">
        <f>RATE(Table1[[#This Row],[Total No. of Coupons]],Table1[[#This Row],[Coupon Amount]],-Table1[[#This Row],[Ask Price]],Table1[[#This Row],[Face value]])</f>
        <v>4.3292570315847212E-2</v>
      </c>
      <c r="W475" s="24">
        <f>Table1[[#This Row],[IRR]]*Table1[[#This Row],[Coupon Frequency2]]</f>
        <v>8.6585140631694424E-2</v>
      </c>
      <c r="X475" s="25" cm="1">
        <f t="array" ref="X47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5" s="26">
        <f>DURATION(Table1[[#This Row],[Issue date]],Table1[[#This Row],[Maturity date]],Table1[[#This Row],[Current coupon %]],Table1[[#This Row],[Yield (Annualised)]],Table1[[#This Row],[Coupon Frequency2]])</f>
        <v>6.863956554077129</v>
      </c>
      <c r="Z475" s="26">
        <f>Table1[[#This Row],[Macaulay Duration in Years]]/(1+Table1[[#This Row],[IRR]])</f>
        <v>6.579129143035237</v>
      </c>
      <c r="AA475" s="27">
        <f>VLOOKUP(Table1[[#This Row],[Yield Cluster]],'[1]Cluster Details'!$B$3:$C$16,2,0)</f>
        <v>7.8548801574189142E-2</v>
      </c>
      <c r="AB475" s="28">
        <f>PRICE(Table1[[#This Row],[Issue date]],Table1[[#This Row],[Maturity date]],Table1[[#This Row],[Current coupon %]],Table1[[#This Row],[Average Cluster Yield]],100,Table1[[#This Row],[Coupon Frequency2]])*Table1[[#This Row],[Face value]]/100</f>
        <v>106532.09574244362</v>
      </c>
      <c r="AC475" s="27" t="str">
        <f>IF(Table1[[#This Row],[Ask Price]]&gt;Table1[[#This Row],[Calculated Bond Price]],"Rich","Cheap")</f>
        <v>Cheap</v>
      </c>
      <c r="AD475" s="28">
        <f>PRICE(Table1[[#This Row],[Issue date]],Table1[[#This Row],[Maturity date]],Table1[[#This Row],[Current coupon %]],Table1[[#This Row],[Yield (Annualised)]]+$AE$2,100,Table1[[#This Row],[Coupon Frequency2]])*Table1[[#This Row],[Face value]]/100</f>
        <v>94635.429872863679</v>
      </c>
      <c r="AE475" s="28">
        <f>PRICE(Table1[[#This Row],[Issue date]],Table1[[#This Row],[Maturity date]],Table1[[#This Row],[Current coupon %]],Table1[[#This Row],[Yield (Annualised)]]-$AE$2,100,Table1[[#This Row],[Coupon Frequency2]])*Table1[[#This Row],[Face value]]/100</f>
        <v>107944.17891718486</v>
      </c>
      <c r="AF475" s="28">
        <f>(Table1[[#This Row],[P (+ shock)]]+Table1[[#This Row],[P (-shock)]]-2*Table1[[#This Row],[Ask Price]])/(2*Table1[[#This Row],[Ask Price]]*($AE$2^2))</f>
        <v>28.693504457848693</v>
      </c>
    </row>
    <row r="476" spans="1:32" x14ac:dyDescent="0.25">
      <c r="A476" s="21" t="s">
        <v>998</v>
      </c>
      <c r="B476" s="3" t="s">
        <v>999</v>
      </c>
      <c r="C476" s="3" t="s">
        <v>19</v>
      </c>
      <c r="D476" s="4">
        <v>43483</v>
      </c>
      <c r="E476" s="4">
        <v>46405</v>
      </c>
      <c r="F476" s="3">
        <v>1000</v>
      </c>
      <c r="G476" s="3" t="s">
        <v>20</v>
      </c>
      <c r="H476" s="3">
        <v>1066.5899999999999</v>
      </c>
      <c r="I476" s="3" t="s">
        <v>20</v>
      </c>
      <c r="J476" s="3">
        <v>106.658999999999</v>
      </c>
      <c r="K476" s="3">
        <v>480</v>
      </c>
      <c r="L476" s="5">
        <v>9.3000000000000013E-2</v>
      </c>
      <c r="M476" s="3" t="s">
        <v>21</v>
      </c>
      <c r="N476" s="3">
        <v>488</v>
      </c>
      <c r="O476" s="6">
        <f>Table1[[#This Row],[Current coupon %]]*Table1[[#This Row],[Face value]]/Table1[[#This Row],[Ask Price]]</f>
        <v>8.7193767052006876E-2</v>
      </c>
      <c r="P476" s="3"/>
      <c r="Q476" s="3" t="s">
        <v>22</v>
      </c>
      <c r="R476">
        <f t="shared" si="7"/>
        <v>8</v>
      </c>
      <c r="S476" s="22" cm="1">
        <f t="array" ref="S476">_xlfn.IFS(Table1[[#This Row],[Coupon frequency]]="Semi-annual",2,Table1[[#This Row],[Coupon frequency]]="Quarterly",4,Table1[[#This Row],[Coupon frequency]]="Annual",1,Table1[[#This Row],[Coupon frequency]]="Every 4 months",3,Table1[[#This Row],[Coupon frequency]]="Monthly",12)</f>
        <v>1</v>
      </c>
      <c r="T476">
        <f>Table1[[#This Row],[Term to Maturity (Years)]]*Table1[[#This Row],[Coupon Frequency2]]</f>
        <v>8</v>
      </c>
      <c r="U476">
        <f>Table1[[#This Row],[Face value]]*Table1[[#This Row],[Current coupon %]]/Table1[[#This Row],[Coupon Frequency2]]</f>
        <v>93.000000000000014</v>
      </c>
      <c r="V476" s="23">
        <f>RATE(Table1[[#This Row],[Total No. of Coupons]],Table1[[#This Row],[Coupon Amount]],-Table1[[#This Row],[Ask Price]],Table1[[#This Row],[Face value]])</f>
        <v>8.1352800116984814E-2</v>
      </c>
      <c r="W476" s="24">
        <f>Table1[[#This Row],[IRR]]*Table1[[#This Row],[Coupon Frequency2]]</f>
        <v>8.1352800116984814E-2</v>
      </c>
      <c r="X476" s="25" cm="1">
        <f t="array" ref="X47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6" s="26">
        <f>DURATION(Table1[[#This Row],[Issue date]],Table1[[#This Row],[Maturity date]],Table1[[#This Row],[Current coupon %]],Table1[[#This Row],[Yield (Annualised)]],Table1[[#This Row],[Coupon Frequency2]])</f>
        <v>6.0518663437092117</v>
      </c>
      <c r="Z476" s="26">
        <f>Table1[[#This Row],[Macaulay Duration in Years]]/(1+Table1[[#This Row],[IRR]])</f>
        <v>5.5965697254906059</v>
      </c>
      <c r="AA476" s="27">
        <f>VLOOKUP(Table1[[#This Row],[Yield Cluster]],'[1]Cluster Details'!$B$3:$C$16,2,0)</f>
        <v>7.8548801574189142E-2</v>
      </c>
      <c r="AB476" s="28">
        <f>PRICE(Table1[[#This Row],[Issue date]],Table1[[#This Row],[Maturity date]],Table1[[#This Row],[Current coupon %]],Table1[[#This Row],[Average Cluster Yield]],100,Table1[[#This Row],[Coupon Frequency2]])*Table1[[#This Row],[Face value]]/100</f>
        <v>1083.5051290428726</v>
      </c>
      <c r="AC476" s="27" t="str">
        <f>IF(Table1[[#This Row],[Ask Price]]&gt;Table1[[#This Row],[Calculated Bond Price]],"Rich","Cheap")</f>
        <v>Cheap</v>
      </c>
      <c r="AD476" s="28">
        <f>PRICE(Table1[[#This Row],[Issue date]],Table1[[#This Row],[Maturity date]],Table1[[#This Row],[Current coupon %]],Table1[[#This Row],[Yield (Annualised)]]+$AE$2,100,Table1[[#This Row],[Coupon Frequency2]])*Table1[[#This Row],[Face value]]/100</f>
        <v>1009.0712932877381</v>
      </c>
      <c r="AE476" s="28">
        <f>PRICE(Table1[[#This Row],[Issue date]],Table1[[#This Row],[Maturity date]],Table1[[#This Row],[Current coupon %]],Table1[[#This Row],[Yield (Annualised)]]-$AE$2,100,Table1[[#This Row],[Coupon Frequency2]])*Table1[[#This Row],[Face value]]/100</f>
        <v>1128.5869706740086</v>
      </c>
      <c r="AF476" s="28">
        <f>(Table1[[#This Row],[P (+ shock)]]+Table1[[#This Row],[P (-shock)]]-2*Table1[[#This Row],[Ask Price]])/(2*Table1[[#This Row],[Ask Price]]*($AE$2^2))</f>
        <v>20.993371219245265</v>
      </c>
    </row>
    <row r="477" spans="1:32" x14ac:dyDescent="0.25">
      <c r="A477" s="21" t="s">
        <v>1000</v>
      </c>
      <c r="B477" s="3" t="s">
        <v>1001</v>
      </c>
      <c r="C477" s="3" t="s">
        <v>19</v>
      </c>
      <c r="D477" s="4">
        <v>43370</v>
      </c>
      <c r="E477" s="4">
        <v>47023</v>
      </c>
      <c r="F477" s="3">
        <v>1000</v>
      </c>
      <c r="G477" s="3" t="s">
        <v>20</v>
      </c>
      <c r="H477" s="3">
        <v>1046.5999999999999</v>
      </c>
      <c r="I477" s="3" t="s">
        <v>20</v>
      </c>
      <c r="J477" s="3">
        <v>104.66</v>
      </c>
      <c r="K477" s="3">
        <v>322</v>
      </c>
      <c r="L477" s="5">
        <v>9.0999999999999998E-2</v>
      </c>
      <c r="M477" s="3" t="s">
        <v>21</v>
      </c>
      <c r="N477" s="3">
        <v>1106</v>
      </c>
      <c r="O477" s="6">
        <f>Table1[[#This Row],[Current coupon %]]*Table1[[#This Row],[Face value]]/Table1[[#This Row],[Ask Price]]</f>
        <v>8.6948213261991217E-2</v>
      </c>
      <c r="P477" s="3"/>
      <c r="Q477" s="3" t="s">
        <v>22</v>
      </c>
      <c r="R477">
        <f t="shared" si="7"/>
        <v>10</v>
      </c>
      <c r="S477" s="22" cm="1">
        <f t="array" ref="S477">_xlfn.IFS(Table1[[#This Row],[Coupon frequency]]="Semi-annual",2,Table1[[#This Row],[Coupon frequency]]="Quarterly",4,Table1[[#This Row],[Coupon frequency]]="Annual",1,Table1[[#This Row],[Coupon frequency]]="Every 4 months",3,Table1[[#This Row],[Coupon frequency]]="Monthly",12)</f>
        <v>1</v>
      </c>
      <c r="T477">
        <f>Table1[[#This Row],[Term to Maturity (Years)]]*Table1[[#This Row],[Coupon Frequency2]]</f>
        <v>10</v>
      </c>
      <c r="U477">
        <f>Table1[[#This Row],[Face value]]*Table1[[#This Row],[Current coupon %]]/Table1[[#This Row],[Coupon Frequency2]]</f>
        <v>91</v>
      </c>
      <c r="V477" s="23">
        <f>RATE(Table1[[#This Row],[Total No. of Coupons]],Table1[[#This Row],[Coupon Amount]],-Table1[[#This Row],[Ask Price]],Table1[[#This Row],[Face value]])</f>
        <v>8.3931574825997404E-2</v>
      </c>
      <c r="W477" s="24">
        <f>Table1[[#This Row],[IRR]]*Table1[[#This Row],[Coupon Frequency2]]</f>
        <v>8.3931574825997404E-2</v>
      </c>
      <c r="X477" s="25" cm="1">
        <f t="array" ref="X47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7" s="26">
        <f>DURATION(Table1[[#This Row],[Issue date]],Table1[[#This Row],[Maturity date]],Table1[[#This Row],[Current coupon %]],Table1[[#This Row],[Yield (Annualised)]],Table1[[#This Row],[Coupon Frequency2]])</f>
        <v>7.0434584804791092</v>
      </c>
      <c r="Z477" s="26">
        <f>Table1[[#This Row],[Macaulay Duration in Years]]/(1+Table1[[#This Row],[IRR]])</f>
        <v>6.4980656012440541</v>
      </c>
      <c r="AA477" s="27">
        <f>VLOOKUP(Table1[[#This Row],[Yield Cluster]],'[1]Cluster Details'!$B$3:$C$16,2,0)</f>
        <v>7.8548801574189142E-2</v>
      </c>
      <c r="AB477" s="28">
        <f>PRICE(Table1[[#This Row],[Issue date]],Table1[[#This Row],[Maturity date]],Table1[[#This Row],[Current coupon %]],Table1[[#This Row],[Average Cluster Yield]],100,Table1[[#This Row],[Coupon Frequency2]])*Table1[[#This Row],[Face value]]/100</f>
        <v>1084.0982029489001</v>
      </c>
      <c r="AC477" s="27" t="str">
        <f>IF(Table1[[#This Row],[Ask Price]]&gt;Table1[[#This Row],[Calculated Bond Price]],"Rich","Cheap")</f>
        <v>Cheap</v>
      </c>
      <c r="AD477" s="28">
        <f>PRICE(Table1[[#This Row],[Issue date]],Table1[[#This Row],[Maturity date]],Table1[[#This Row],[Current coupon %]],Table1[[#This Row],[Yield (Annualised)]]+$AE$2,100,Table1[[#This Row],[Coupon Frequency2]])*Table1[[#This Row],[Face value]]/100</f>
        <v>981.50740704930479</v>
      </c>
      <c r="AE477" s="28">
        <f>PRICE(Table1[[#This Row],[Issue date]],Table1[[#This Row],[Maturity date]],Table1[[#This Row],[Current coupon %]],Table1[[#This Row],[Yield (Annualised)]]-$AE$2,100,Table1[[#This Row],[Coupon Frequency2]])*Table1[[#This Row],[Face value]]/100</f>
        <v>1117.7327651351582</v>
      </c>
      <c r="AF477" s="28">
        <f>(Table1[[#This Row],[P (+ shock)]]+Table1[[#This Row],[P (-shock)]]-2*Table1[[#This Row],[Ask Price]])/(2*Table1[[#This Row],[Ask Price]]*($AE$2^2))</f>
        <v>28.856163694168</v>
      </c>
    </row>
    <row r="478" spans="1:32" x14ac:dyDescent="0.25">
      <c r="A478" s="21" t="s">
        <v>1002</v>
      </c>
      <c r="B478" s="3" t="s">
        <v>1003</v>
      </c>
      <c r="C478" s="3" t="s">
        <v>19</v>
      </c>
      <c r="D478" s="4">
        <v>42986</v>
      </c>
      <c r="E478" s="4">
        <v>46638</v>
      </c>
      <c r="F478" s="3">
        <v>100000</v>
      </c>
      <c r="G478" s="3" t="s">
        <v>20</v>
      </c>
      <c r="H478" s="3">
        <v>96093.47</v>
      </c>
      <c r="I478" s="3" t="s">
        <v>20</v>
      </c>
      <c r="J478" s="3">
        <v>96.093469999999996</v>
      </c>
      <c r="K478" s="3">
        <v>10</v>
      </c>
      <c r="L478" s="5">
        <v>8.3499999999999991E-2</v>
      </c>
      <c r="M478" s="3" t="s">
        <v>21</v>
      </c>
      <c r="N478" s="3">
        <v>721</v>
      </c>
      <c r="O478" s="6">
        <f>Table1[[#This Row],[Current coupon %]]*Table1[[#This Row],[Face value]]/Table1[[#This Row],[Ask Price]]</f>
        <v>8.6894562138301365E-2</v>
      </c>
      <c r="P478" s="3" t="s">
        <v>25</v>
      </c>
      <c r="Q478" s="3" t="s">
        <v>22</v>
      </c>
      <c r="R478">
        <f t="shared" si="7"/>
        <v>10</v>
      </c>
      <c r="S478" s="22" cm="1">
        <f t="array" ref="S478">_xlfn.IFS(Table1[[#This Row],[Coupon frequency]]="Semi-annual",2,Table1[[#This Row],[Coupon frequency]]="Quarterly",4,Table1[[#This Row],[Coupon frequency]]="Annual",1,Table1[[#This Row],[Coupon frequency]]="Every 4 months",3,Table1[[#This Row],[Coupon frequency]]="Monthly",12)</f>
        <v>1</v>
      </c>
      <c r="T478">
        <f>Table1[[#This Row],[Term to Maturity (Years)]]*Table1[[#This Row],[Coupon Frequency2]]</f>
        <v>10</v>
      </c>
      <c r="U478">
        <f>Table1[[#This Row],[Face value]]*Table1[[#This Row],[Current coupon %]]/Table1[[#This Row],[Coupon Frequency2]]</f>
        <v>8349.9999999999982</v>
      </c>
      <c r="V478" s="23">
        <f>RATE(Table1[[#This Row],[Total No. of Coupons]],Table1[[#This Row],[Coupon Amount]],-Table1[[#This Row],[Ask Price]],Table1[[#This Row],[Face value]])</f>
        <v>8.9575797480067929E-2</v>
      </c>
      <c r="W478" s="24">
        <f>Table1[[#This Row],[IRR]]*Table1[[#This Row],[Coupon Frequency2]]</f>
        <v>8.9575797480067929E-2</v>
      </c>
      <c r="X478" s="25" cm="1">
        <f t="array" ref="X47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8" s="26">
        <f>DURATION(Table1[[#This Row],[Issue date]],Table1[[#This Row],[Maturity date]],Table1[[#This Row],[Current coupon %]],Table1[[#This Row],[Yield (Annualised)]],Table1[[#This Row],[Coupon Frequency2]])</f>
        <v>7.0952299106712386</v>
      </c>
      <c r="Z478" s="26">
        <f>Table1[[#This Row],[Macaulay Duration in Years]]/(1+Table1[[#This Row],[IRR]])</f>
        <v>6.511919526003453</v>
      </c>
      <c r="AA478" s="27">
        <f>VLOOKUP(Table1[[#This Row],[Yield Cluster]],'[1]Cluster Details'!$B$3:$C$16,2,0)</f>
        <v>7.8548801574189142E-2</v>
      </c>
      <c r="AB478" s="28">
        <f>PRICE(Table1[[#This Row],[Issue date]],Table1[[#This Row],[Maturity date]],Table1[[#This Row],[Current coupon %]],Table1[[#This Row],[Average Cluster Yield]],100,Table1[[#This Row],[Coupon Frequency2]])*Table1[[#This Row],[Face value]]/100</f>
        <v>103344.15110750277</v>
      </c>
      <c r="AC478" s="27" t="str">
        <f>IF(Table1[[#This Row],[Ask Price]]&gt;Table1[[#This Row],[Calculated Bond Price]],"Rich","Cheap")</f>
        <v>Cheap</v>
      </c>
      <c r="AD478" s="28">
        <f>PRICE(Table1[[#This Row],[Issue date]],Table1[[#This Row],[Maturity date]],Table1[[#This Row],[Current coupon %]],Table1[[#This Row],[Yield (Annualised)]]+$AE$2,100,Table1[[#This Row],[Coupon Frequency2]])*Table1[[#This Row],[Face value]]/100</f>
        <v>90104.092002566191</v>
      </c>
      <c r="AE478" s="28">
        <f>PRICE(Table1[[#This Row],[Issue date]],Table1[[#This Row],[Maturity date]],Table1[[#This Row],[Current coupon %]],Table1[[#This Row],[Yield (Annualised)]]-$AE$2,100,Table1[[#This Row],[Coupon Frequency2]])*Table1[[#This Row],[Face value]]/100</f>
        <v>102638.21747182135</v>
      </c>
      <c r="AF478" s="28">
        <f>(Table1[[#This Row],[P (+ shock)]]+Table1[[#This Row],[P (-shock)]]-2*Table1[[#This Row],[Ask Price]])/(2*Table1[[#This Row],[Ask Price]]*($AE$2^2))</f>
        <v>28.897357665799401</v>
      </c>
    </row>
    <row r="479" spans="1:32" x14ac:dyDescent="0.25">
      <c r="A479" s="21" t="s">
        <v>1004</v>
      </c>
      <c r="B479" s="3" t="s">
        <v>1005</v>
      </c>
      <c r="C479" s="3" t="s">
        <v>19</v>
      </c>
      <c r="D479" s="4">
        <v>44790</v>
      </c>
      <c r="E479" s="4">
        <v>48443</v>
      </c>
      <c r="F479" s="3">
        <v>1000000</v>
      </c>
      <c r="G479" s="3" t="s">
        <v>20</v>
      </c>
      <c r="H479" s="3">
        <v>1005000</v>
      </c>
      <c r="I479" s="3" t="s">
        <v>20</v>
      </c>
      <c r="J479" s="3">
        <v>100.49999999999901</v>
      </c>
      <c r="K479" s="3">
        <v>1</v>
      </c>
      <c r="L479" s="5">
        <v>8.72E-2</v>
      </c>
      <c r="M479" s="3" t="s">
        <v>21</v>
      </c>
      <c r="N479" s="3">
        <v>2526</v>
      </c>
      <c r="O479" s="6">
        <f>Table1[[#This Row],[Current coupon %]]*Table1[[#This Row],[Face value]]/Table1[[#This Row],[Ask Price]]</f>
        <v>8.6766169154228856E-2</v>
      </c>
      <c r="P479" s="3" t="s">
        <v>97</v>
      </c>
      <c r="Q479" s="3" t="s">
        <v>22</v>
      </c>
      <c r="R479">
        <f t="shared" si="7"/>
        <v>10</v>
      </c>
      <c r="S479" s="22" cm="1">
        <f t="array" ref="S479">_xlfn.IFS(Table1[[#This Row],[Coupon frequency]]="Semi-annual",2,Table1[[#This Row],[Coupon frequency]]="Quarterly",4,Table1[[#This Row],[Coupon frequency]]="Annual",1,Table1[[#This Row],[Coupon frequency]]="Every 4 months",3,Table1[[#This Row],[Coupon frequency]]="Monthly",12)</f>
        <v>1</v>
      </c>
      <c r="T479">
        <f>Table1[[#This Row],[Term to Maturity (Years)]]*Table1[[#This Row],[Coupon Frequency2]]</f>
        <v>10</v>
      </c>
      <c r="U479">
        <f>Table1[[#This Row],[Face value]]*Table1[[#This Row],[Current coupon %]]/Table1[[#This Row],[Coupon Frequency2]]</f>
        <v>87200</v>
      </c>
      <c r="V479" s="23">
        <f>RATE(Table1[[#This Row],[Total No. of Coupons]],Table1[[#This Row],[Coupon Amount]],-Table1[[#This Row],[Ask Price]],Table1[[#This Row],[Face value]])</f>
        <v>8.6433088583288797E-2</v>
      </c>
      <c r="W479" s="24">
        <f>Table1[[#This Row],[IRR]]*Table1[[#This Row],[Coupon Frequency2]]</f>
        <v>8.6433088583288797E-2</v>
      </c>
      <c r="X479" s="25" cm="1">
        <f t="array" ref="X47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79" s="26">
        <f>DURATION(Table1[[#This Row],[Issue date]],Table1[[#This Row],[Maturity date]],Table1[[#This Row],[Current coupon %]],Table1[[#This Row],[Yield (Annualised)]],Table1[[#This Row],[Coupon Frequency2]])</f>
        <v>7.0719316036151199</v>
      </c>
      <c r="Z479" s="26">
        <f>Table1[[#This Row],[Macaulay Duration in Years]]/(1+Table1[[#This Row],[IRR]])</f>
        <v>6.5093116897212102</v>
      </c>
      <c r="AA479" s="27">
        <f>VLOOKUP(Table1[[#This Row],[Yield Cluster]],'[1]Cluster Details'!$B$3:$C$16,2,0)</f>
        <v>7.8548801574189142E-2</v>
      </c>
      <c r="AB479" s="28">
        <f>PRICE(Table1[[#This Row],[Issue date]],Table1[[#This Row],[Maturity date]],Table1[[#This Row],[Current coupon %]],Table1[[#This Row],[Average Cluster Yield]],100,Table1[[#This Row],[Coupon Frequency2]])*Table1[[#This Row],[Face value]]/100</f>
        <v>1058432.1457328049</v>
      </c>
      <c r="AC479" s="27" t="str">
        <f>IF(Table1[[#This Row],[Ask Price]]&gt;Table1[[#This Row],[Calculated Bond Price]],"Rich","Cheap")</f>
        <v>Cheap</v>
      </c>
      <c r="AD479" s="28">
        <f>PRICE(Table1[[#This Row],[Issue date]],Table1[[#This Row],[Maturity date]],Table1[[#This Row],[Current coupon %]],Table1[[#This Row],[Yield (Annualised)]]+$AE$2,100,Table1[[#This Row],[Coupon Frequency2]])*Table1[[#This Row],[Face value]]/100</f>
        <v>942386.81560184853</v>
      </c>
      <c r="AE479" s="28">
        <f>PRICE(Table1[[#This Row],[Issue date]],Table1[[#This Row],[Maturity date]],Table1[[#This Row],[Current coupon %]],Table1[[#This Row],[Yield (Annualised)]]-$AE$2,100,Table1[[#This Row],[Coupon Frequency2]])*Table1[[#This Row],[Face value]]/100</f>
        <v>1073423.7689297975</v>
      </c>
      <c r="AF479" s="28">
        <f>(Table1[[#This Row],[P (+ shock)]]+Table1[[#This Row],[P (-shock)]]-2*Table1[[#This Row],[Ask Price]])/(2*Table1[[#This Row],[Ask Price]]*($AE$2^2))</f>
        <v>28.908380754457657</v>
      </c>
    </row>
    <row r="480" spans="1:32" x14ac:dyDescent="0.25">
      <c r="A480" s="21" t="s">
        <v>1006</v>
      </c>
      <c r="B480" s="3" t="s">
        <v>1007</v>
      </c>
      <c r="C480" s="3" t="s">
        <v>19</v>
      </c>
      <c r="D480" s="4">
        <v>45037</v>
      </c>
      <c r="E480" s="4">
        <v>46167</v>
      </c>
      <c r="F480" s="3">
        <v>100000</v>
      </c>
      <c r="G480" s="3" t="s">
        <v>20</v>
      </c>
      <c r="H480" s="3">
        <v>100935</v>
      </c>
      <c r="I480" s="3" t="s">
        <v>20</v>
      </c>
      <c r="J480" s="3">
        <v>100.935</v>
      </c>
      <c r="K480" s="3">
        <v>5</v>
      </c>
      <c r="L480" s="5">
        <v>8.7499999999999994E-2</v>
      </c>
      <c r="M480" s="3" t="s">
        <v>21</v>
      </c>
      <c r="N480" s="3">
        <v>250</v>
      </c>
      <c r="O480" s="6">
        <f>Table1[[#This Row],[Current coupon %]]*Table1[[#This Row],[Face value]]/Table1[[#This Row],[Ask Price]]</f>
        <v>8.6689453608758113E-2</v>
      </c>
      <c r="P480" s="3" t="s">
        <v>54</v>
      </c>
      <c r="Q480" s="3" t="s">
        <v>22</v>
      </c>
      <c r="R480">
        <f t="shared" si="7"/>
        <v>3</v>
      </c>
      <c r="S480" s="22" cm="1">
        <f t="array" ref="S480">_xlfn.IFS(Table1[[#This Row],[Coupon frequency]]="Semi-annual",2,Table1[[#This Row],[Coupon frequency]]="Quarterly",4,Table1[[#This Row],[Coupon frequency]]="Annual",1,Table1[[#This Row],[Coupon frequency]]="Every 4 months",3,Table1[[#This Row],[Coupon frequency]]="Monthly",12)</f>
        <v>1</v>
      </c>
      <c r="T480">
        <f>Table1[[#This Row],[Term to Maturity (Years)]]*Table1[[#This Row],[Coupon Frequency2]]</f>
        <v>3</v>
      </c>
      <c r="U480">
        <f>Table1[[#This Row],[Face value]]*Table1[[#This Row],[Current coupon %]]/Table1[[#This Row],[Coupon Frequency2]]</f>
        <v>8750</v>
      </c>
      <c r="V480" s="23">
        <f>RATE(Table1[[#This Row],[Total No. of Coupons]],Table1[[#This Row],[Coupon Amount]],-Table1[[#This Row],[Ask Price]],Table1[[#This Row],[Face value]])</f>
        <v>8.3846677026986088E-2</v>
      </c>
      <c r="W480" s="24">
        <f>Table1[[#This Row],[IRR]]*Table1[[#This Row],[Coupon Frequency2]]</f>
        <v>8.3846677026986088E-2</v>
      </c>
      <c r="X480" s="25" cm="1">
        <f t="array" ref="X48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0" s="26">
        <f>DURATION(Table1[[#This Row],[Issue date]],Table1[[#This Row],[Maturity date]],Table1[[#This Row],[Current coupon %]],Table1[[#This Row],[Yield (Annualised)]],Table1[[#This Row],[Coupon Frequency2]])</f>
        <v>2.6400089634741191</v>
      </c>
      <c r="Z480" s="26">
        <f>Table1[[#This Row],[Macaulay Duration in Years]]/(1+Table1[[#This Row],[IRR]])</f>
        <v>2.4357771439736462</v>
      </c>
      <c r="AA480" s="27">
        <f>VLOOKUP(Table1[[#This Row],[Yield Cluster]],'[1]Cluster Details'!$B$3:$C$16,2,0)</f>
        <v>7.8548801574189142E-2</v>
      </c>
      <c r="AB480" s="28">
        <f>PRICE(Table1[[#This Row],[Issue date]],Table1[[#This Row],[Maturity date]],Table1[[#This Row],[Current coupon %]],Table1[[#This Row],[Average Cluster Yield]],100,Table1[[#This Row],[Coupon Frequency2]])*Table1[[#This Row],[Face value]]/100</f>
        <v>102348.9175949512</v>
      </c>
      <c r="AC480" s="27" t="str">
        <f>IF(Table1[[#This Row],[Ask Price]]&gt;Table1[[#This Row],[Calculated Bond Price]],"Rich","Cheap")</f>
        <v>Cheap</v>
      </c>
      <c r="AD480" s="28">
        <f>PRICE(Table1[[#This Row],[Issue date]],Table1[[#This Row],[Maturity date]],Table1[[#This Row],[Current coupon %]],Table1[[#This Row],[Yield (Annualised)]]+$AE$2,100,Table1[[#This Row],[Coupon Frequency2]])*Table1[[#This Row],[Face value]]/100</f>
        <v>98326.860551144448</v>
      </c>
      <c r="AE480" s="28">
        <f>PRICE(Table1[[#This Row],[Issue date]],Table1[[#This Row],[Maturity date]],Table1[[#This Row],[Current coupon %]],Table1[[#This Row],[Yield (Annualised)]]-$AE$2,100,Table1[[#This Row],[Coupon Frequency2]])*Table1[[#This Row],[Face value]]/100</f>
        <v>103631.24568648581</v>
      </c>
      <c r="AF480" s="28">
        <f>(Table1[[#This Row],[P (+ shock)]]+Table1[[#This Row],[P (-shock)]]-2*Table1[[#This Row],[Ask Price]])/(2*Table1[[#This Row],[Ask Price]]*($AE$2^2))</f>
        <v>4.3645037712509742</v>
      </c>
    </row>
    <row r="481" spans="1:32" x14ac:dyDescent="0.25">
      <c r="A481" s="21" t="s">
        <v>1008</v>
      </c>
      <c r="B481" s="3" t="s">
        <v>1009</v>
      </c>
      <c r="C481" s="3" t="s">
        <v>19</v>
      </c>
      <c r="D481" s="4">
        <v>45287</v>
      </c>
      <c r="E481" s="4">
        <v>46018</v>
      </c>
      <c r="F481" s="3">
        <v>1000</v>
      </c>
      <c r="G481" s="3" t="s">
        <v>20</v>
      </c>
      <c r="H481" s="3">
        <v>1072.8499999999999</v>
      </c>
      <c r="I481" s="3" t="s">
        <v>20</v>
      </c>
      <c r="J481" s="3">
        <v>107.284999999999</v>
      </c>
      <c r="K481" s="3">
        <v>3</v>
      </c>
      <c r="L481" s="5">
        <v>9.3000000000000013E-2</v>
      </c>
      <c r="M481" s="3" t="s">
        <v>21</v>
      </c>
      <c r="N481" s="3">
        <v>101</v>
      </c>
      <c r="O481" s="6">
        <f>Table1[[#This Row],[Current coupon %]]*Table1[[#This Row],[Face value]]/Table1[[#This Row],[Ask Price]]</f>
        <v>8.6684997902782335E-2</v>
      </c>
      <c r="P481" s="3"/>
      <c r="Q481" s="3" t="s">
        <v>22</v>
      </c>
      <c r="R481">
        <f t="shared" si="7"/>
        <v>2</v>
      </c>
      <c r="S481" s="22" cm="1">
        <f t="array" ref="S481">_xlfn.IFS(Table1[[#This Row],[Coupon frequency]]="Semi-annual",2,Table1[[#This Row],[Coupon frequency]]="Quarterly",4,Table1[[#This Row],[Coupon frequency]]="Annual",1,Table1[[#This Row],[Coupon frequency]]="Every 4 months",3,Table1[[#This Row],[Coupon frequency]]="Monthly",12)</f>
        <v>1</v>
      </c>
      <c r="T481">
        <f>Table1[[#This Row],[Term to Maturity (Years)]]*Table1[[#This Row],[Coupon Frequency2]]</f>
        <v>2</v>
      </c>
      <c r="U481">
        <f>Table1[[#This Row],[Face value]]*Table1[[#This Row],[Current coupon %]]/Table1[[#This Row],[Coupon Frequency2]]</f>
        <v>93.000000000000014</v>
      </c>
      <c r="V481" s="23">
        <f>RATE(Table1[[#This Row],[Total No. of Coupons]],Table1[[#This Row],[Coupon Amount]],-Table1[[#This Row],[Ask Price]],Table1[[#This Row],[Face value]])</f>
        <v>5.3619847881498296E-2</v>
      </c>
      <c r="W481" s="24">
        <f>Table1[[#This Row],[IRR]]*Table1[[#This Row],[Coupon Frequency2]]</f>
        <v>5.3619847881498296E-2</v>
      </c>
      <c r="X481" s="25" cm="1">
        <f t="array" ref="X48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1" s="26">
        <f>DURATION(Table1[[#This Row],[Issue date]],Table1[[#This Row],[Maturity date]],Table1[[#This Row],[Current coupon %]],Table1[[#This Row],[Yield (Annualised)]],Table1[[#This Row],[Coupon Frequency2]])</f>
        <v>1.9177264949240453</v>
      </c>
      <c r="Z481" s="26">
        <f>Table1[[#This Row],[Macaulay Duration in Years]]/(1+Table1[[#This Row],[IRR]])</f>
        <v>1.8201313298909438</v>
      </c>
      <c r="AA481" s="27">
        <f>VLOOKUP(Table1[[#This Row],[Yield Cluster]],'[1]Cluster Details'!$B$3:$C$16,2,0)</f>
        <v>7.8548801574189142E-2</v>
      </c>
      <c r="AB481" s="28">
        <f>PRICE(Table1[[#This Row],[Issue date]],Table1[[#This Row],[Maturity date]],Table1[[#This Row],[Current coupon %]],Table1[[#This Row],[Average Cluster Yield]],100,Table1[[#This Row],[Coupon Frequency2]])*Table1[[#This Row],[Face value]]/100</f>
        <v>1025.8216796399572</v>
      </c>
      <c r="AC481" s="27" t="str">
        <f>IF(Table1[[#This Row],[Ask Price]]&gt;Table1[[#This Row],[Calculated Bond Price]],"Rich","Cheap")</f>
        <v>Rich</v>
      </c>
      <c r="AD481" s="28">
        <f>PRICE(Table1[[#This Row],[Issue date]],Table1[[#This Row],[Maturity date]],Table1[[#This Row],[Current coupon %]],Table1[[#This Row],[Yield (Annualised)]]+$AE$2,100,Table1[[#This Row],[Coupon Frequency2]])*Table1[[#This Row],[Face value]]/100</f>
        <v>1053.5933457694125</v>
      </c>
      <c r="AE481" s="28">
        <f>PRICE(Table1[[#This Row],[Issue date]],Table1[[#This Row],[Maturity date]],Table1[[#This Row],[Current coupon %]],Table1[[#This Row],[Yield (Annualised)]]-$AE$2,100,Table1[[#This Row],[Coupon Frequency2]])*Table1[[#This Row],[Face value]]/100</f>
        <v>1092.6547898376541</v>
      </c>
      <c r="AF481" s="28">
        <f>(Table1[[#This Row],[P (+ shock)]]+Table1[[#This Row],[P (-shock)]]-2*Table1[[#This Row],[Ask Price]])/(2*Table1[[#This Row],[Ask Price]]*($AE$2^2))</f>
        <v>2.5545770940336352</v>
      </c>
    </row>
    <row r="482" spans="1:32" x14ac:dyDescent="0.25">
      <c r="A482" s="21" t="s">
        <v>1010</v>
      </c>
      <c r="B482" s="3" t="s">
        <v>1011</v>
      </c>
      <c r="C482" s="3" t="s">
        <v>19</v>
      </c>
      <c r="D482" s="4">
        <v>42527</v>
      </c>
      <c r="E482" s="4">
        <v>46179</v>
      </c>
      <c r="F482" s="3">
        <v>1000</v>
      </c>
      <c r="G482" s="3" t="s">
        <v>20</v>
      </c>
      <c r="H482" s="3">
        <v>1006.11</v>
      </c>
      <c r="I482" s="3" t="s">
        <v>20</v>
      </c>
      <c r="J482" s="3">
        <v>100.611</v>
      </c>
      <c r="K482" s="3">
        <v>241</v>
      </c>
      <c r="L482" s="5">
        <v>8.72E-2</v>
      </c>
      <c r="M482" s="3" t="s">
        <v>44</v>
      </c>
      <c r="N482" s="3">
        <v>262</v>
      </c>
      <c r="O482" s="6">
        <f>Table1[[#This Row],[Current coupon %]]*Table1[[#This Row],[Face value]]/Table1[[#This Row],[Ask Price]]</f>
        <v>8.6670443589667134E-2</v>
      </c>
      <c r="P482" s="3"/>
      <c r="Q482" s="3" t="s">
        <v>22</v>
      </c>
      <c r="R482">
        <f t="shared" si="7"/>
        <v>10</v>
      </c>
      <c r="S482" s="22" cm="1">
        <f t="array" ref="S482">_xlfn.IFS(Table1[[#This Row],[Coupon frequency]]="Semi-annual",2,Table1[[#This Row],[Coupon frequency]]="Quarterly",4,Table1[[#This Row],[Coupon frequency]]="Annual",1,Table1[[#This Row],[Coupon frequency]]="Every 4 months",3,Table1[[#This Row],[Coupon frequency]]="Monthly",12)</f>
        <v>4</v>
      </c>
      <c r="T482">
        <f>Table1[[#This Row],[Term to Maturity (Years)]]*Table1[[#This Row],[Coupon Frequency2]]</f>
        <v>40</v>
      </c>
      <c r="U482">
        <f>Table1[[#This Row],[Face value]]*Table1[[#This Row],[Current coupon %]]/Table1[[#This Row],[Coupon Frequency2]]</f>
        <v>21.8</v>
      </c>
      <c r="V482" s="23">
        <f>RATE(Table1[[#This Row],[Total No. of Coupons]],Table1[[#This Row],[Coupon Amount]],-Table1[[#This Row],[Ask Price]],Table1[[#This Row],[Face value]])</f>
        <v>2.1570447097233124E-2</v>
      </c>
      <c r="W482" s="24">
        <f>Table1[[#This Row],[IRR]]*Table1[[#This Row],[Coupon Frequency2]]</f>
        <v>8.6281788388932495E-2</v>
      </c>
      <c r="X482" s="25" cm="1">
        <f t="array" ref="X48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2" s="26">
        <f>DURATION(Table1[[#This Row],[Issue date]],Table1[[#This Row],[Maturity date]],Table1[[#This Row],[Current coupon %]],Table1[[#This Row],[Yield (Annualised)]],Table1[[#This Row],[Coupon Frequency2]])</f>
        <v>6.7833500689713668</v>
      </c>
      <c r="Z482" s="26">
        <f>Table1[[#This Row],[Macaulay Duration in Years]]/(1+Table1[[#This Row],[IRR]])</f>
        <v>6.6401197178775941</v>
      </c>
      <c r="AA482" s="27">
        <f>VLOOKUP(Table1[[#This Row],[Yield Cluster]],'[1]Cluster Details'!$B$3:$C$16,2,0)</f>
        <v>7.8548801574189142E-2</v>
      </c>
      <c r="AB482" s="28">
        <f>PRICE(Table1[[#This Row],[Issue date]],Table1[[#This Row],[Maturity date]],Table1[[#This Row],[Current coupon %]],Table1[[#This Row],[Average Cluster Yield]],100,Table1[[#This Row],[Coupon Frequency2]])*Table1[[#This Row],[Face value]]/100</f>
        <v>1059.5426189078835</v>
      </c>
      <c r="AC482" s="27" t="str">
        <f>IF(Table1[[#This Row],[Ask Price]]&gt;Table1[[#This Row],[Calculated Bond Price]],"Rich","Cheap")</f>
        <v>Cheap</v>
      </c>
      <c r="AD482" s="28">
        <f>PRICE(Table1[[#This Row],[Issue date]],Table1[[#This Row],[Maturity date]],Table1[[#This Row],[Current coupon %]],Table1[[#This Row],[Yield (Annualised)]]+$AE$2,100,Table1[[#This Row],[Coupon Frequency2]])*Table1[[#This Row],[Face value]]/100</f>
        <v>942.10278959126094</v>
      </c>
      <c r="AE482" s="28">
        <f>PRICE(Table1[[#This Row],[Issue date]],Table1[[#This Row],[Maturity date]],Table1[[#This Row],[Current coupon %]],Table1[[#This Row],[Yield (Annualised)]]-$AE$2,100,Table1[[#This Row],[Coupon Frequency2]])*Table1[[#This Row],[Face value]]/100</f>
        <v>1075.9001079722848</v>
      </c>
      <c r="AF482" s="28">
        <f>(Table1[[#This Row],[P (+ shock)]]+Table1[[#This Row],[P (-shock)]]-2*Table1[[#This Row],[Ask Price]])/(2*Table1[[#This Row],[Ask Price]]*($AE$2^2))</f>
        <v>28.738893180396289</v>
      </c>
    </row>
    <row r="483" spans="1:32" x14ac:dyDescent="0.25">
      <c r="A483" s="21" t="s">
        <v>1012</v>
      </c>
      <c r="B483" s="3" t="s">
        <v>1013</v>
      </c>
      <c r="C483" s="3" t="s">
        <v>19</v>
      </c>
      <c r="D483" s="4">
        <v>45189</v>
      </c>
      <c r="E483" s="4">
        <v>46285</v>
      </c>
      <c r="F483" s="3">
        <v>1000</v>
      </c>
      <c r="G483" s="3" t="s">
        <v>20</v>
      </c>
      <c r="H483" s="3">
        <v>1069.8</v>
      </c>
      <c r="I483" s="3" t="s">
        <v>20</v>
      </c>
      <c r="J483" s="3">
        <v>106.979999999999</v>
      </c>
      <c r="K483" s="3">
        <v>80</v>
      </c>
      <c r="L483" s="5">
        <v>9.2699999999999991E-2</v>
      </c>
      <c r="M483" s="3" t="s">
        <v>21</v>
      </c>
      <c r="N483" s="3">
        <v>368</v>
      </c>
      <c r="O483" s="6">
        <f>Table1[[#This Row],[Current coupon %]]*Table1[[#This Row],[Face value]]/Table1[[#This Row],[Ask Price]]</f>
        <v>8.6651710600112161E-2</v>
      </c>
      <c r="P483" s="3"/>
      <c r="Q483" s="3" t="s">
        <v>22</v>
      </c>
      <c r="R483">
        <f t="shared" si="7"/>
        <v>3</v>
      </c>
      <c r="S483" s="22" cm="1">
        <f t="array" ref="S483">_xlfn.IFS(Table1[[#This Row],[Coupon frequency]]="Semi-annual",2,Table1[[#This Row],[Coupon frequency]]="Quarterly",4,Table1[[#This Row],[Coupon frequency]]="Annual",1,Table1[[#This Row],[Coupon frequency]]="Every 4 months",3,Table1[[#This Row],[Coupon frequency]]="Monthly",12)</f>
        <v>1</v>
      </c>
      <c r="T483">
        <f>Table1[[#This Row],[Term to Maturity (Years)]]*Table1[[#This Row],[Coupon Frequency2]]</f>
        <v>3</v>
      </c>
      <c r="U483">
        <f>Table1[[#This Row],[Face value]]*Table1[[#This Row],[Current coupon %]]/Table1[[#This Row],[Coupon Frequency2]]</f>
        <v>92.699999999999989</v>
      </c>
      <c r="V483" s="23">
        <f>RATE(Table1[[#This Row],[Total No. of Coupons]],Table1[[#This Row],[Coupon Amount]],-Table1[[#This Row],[Ask Price]],Table1[[#This Row],[Face value]])</f>
        <v>6.6283024788992215E-2</v>
      </c>
      <c r="W483" s="24">
        <f>Table1[[#This Row],[IRR]]*Table1[[#This Row],[Coupon Frequency2]]</f>
        <v>6.6283024788992215E-2</v>
      </c>
      <c r="X483" s="25" cm="1">
        <f t="array" ref="X48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3" s="26">
        <f>DURATION(Table1[[#This Row],[Issue date]],Table1[[#This Row],[Maturity date]],Table1[[#This Row],[Current coupon %]],Table1[[#This Row],[Yield (Annualised)]],Table1[[#This Row],[Coupon Frequency2]])</f>
        <v>2.7612560435070921</v>
      </c>
      <c r="Z483" s="26">
        <f>Table1[[#This Row],[Macaulay Duration in Years]]/(1+Table1[[#This Row],[IRR]])</f>
        <v>2.5896089305684291</v>
      </c>
      <c r="AA483" s="27">
        <f>VLOOKUP(Table1[[#This Row],[Yield Cluster]],'[1]Cluster Details'!$B$3:$C$16,2,0)</f>
        <v>7.8548801574189142E-2</v>
      </c>
      <c r="AB483" s="28">
        <f>PRICE(Table1[[#This Row],[Issue date]],Table1[[#This Row],[Maturity date]],Table1[[#This Row],[Current coupon %]],Table1[[#This Row],[Average Cluster Yield]],100,Table1[[#This Row],[Coupon Frequency2]])*Table1[[#This Row],[Face value]]/100</f>
        <v>1036.5647175454499</v>
      </c>
      <c r="AC483" s="27" t="str">
        <f>IF(Table1[[#This Row],[Ask Price]]&gt;Table1[[#This Row],[Calculated Bond Price]],"Rich","Cheap")</f>
        <v>Rich</v>
      </c>
      <c r="AD483" s="28">
        <f>PRICE(Table1[[#This Row],[Issue date]],Table1[[#This Row],[Maturity date]],Table1[[#This Row],[Current coupon %]],Table1[[#This Row],[Yield (Annualised)]]+$AE$2,100,Table1[[#This Row],[Coupon Frequency2]])*Table1[[#This Row],[Face value]]/100</f>
        <v>1042.5935076195999</v>
      </c>
      <c r="AE483" s="28">
        <f>PRICE(Table1[[#This Row],[Issue date]],Table1[[#This Row],[Maturity date]],Table1[[#This Row],[Current coupon %]],Table1[[#This Row],[Yield (Annualised)]]-$AE$2,100,Table1[[#This Row],[Coupon Frequency2]])*Table1[[#This Row],[Face value]]/100</f>
        <v>1098.0163340688946</v>
      </c>
      <c r="AF483" s="28">
        <f>(Table1[[#This Row],[P (+ shock)]]+Table1[[#This Row],[P (-shock)]]-2*Table1[[#This Row],[Ask Price]])/(2*Table1[[#This Row],[Ask Price]]*($AE$2^2))</f>
        <v>4.7197685945707688</v>
      </c>
    </row>
    <row r="484" spans="1:32" x14ac:dyDescent="0.25">
      <c r="A484" s="21" t="s">
        <v>1014</v>
      </c>
      <c r="B484" s="3" t="s">
        <v>1015</v>
      </c>
      <c r="C484" s="3" t="s">
        <v>19</v>
      </c>
      <c r="D484" s="4">
        <v>44400</v>
      </c>
      <c r="E484" s="4">
        <v>46226</v>
      </c>
      <c r="F484" s="3">
        <v>1000</v>
      </c>
      <c r="G484" s="3" t="s">
        <v>20</v>
      </c>
      <c r="H484" s="3">
        <v>1010</v>
      </c>
      <c r="I484" s="3" t="s">
        <v>20</v>
      </c>
      <c r="J484" s="3">
        <v>101</v>
      </c>
      <c r="K484" s="3">
        <v>31</v>
      </c>
      <c r="L484" s="5">
        <v>8.7499999999999994E-2</v>
      </c>
      <c r="M484" s="3" t="s">
        <v>21</v>
      </c>
      <c r="N484" s="3">
        <v>309</v>
      </c>
      <c r="O484" s="6">
        <f>Table1[[#This Row],[Current coupon %]]*Table1[[#This Row],[Face value]]/Table1[[#This Row],[Ask Price]]</f>
        <v>8.6633663366336627E-2</v>
      </c>
      <c r="P484" s="3" t="s">
        <v>54</v>
      </c>
      <c r="Q484" s="3" t="s">
        <v>22</v>
      </c>
      <c r="R484">
        <f t="shared" si="7"/>
        <v>5</v>
      </c>
      <c r="S484" s="22" cm="1">
        <f t="array" ref="S484">_xlfn.IFS(Table1[[#This Row],[Coupon frequency]]="Semi-annual",2,Table1[[#This Row],[Coupon frequency]]="Quarterly",4,Table1[[#This Row],[Coupon frequency]]="Annual",1,Table1[[#This Row],[Coupon frequency]]="Every 4 months",3,Table1[[#This Row],[Coupon frequency]]="Monthly",12)</f>
        <v>1</v>
      </c>
      <c r="T484">
        <f>Table1[[#This Row],[Term to Maturity (Years)]]*Table1[[#This Row],[Coupon Frequency2]]</f>
        <v>5</v>
      </c>
      <c r="U484">
        <f>Table1[[#This Row],[Face value]]*Table1[[#This Row],[Current coupon %]]/Table1[[#This Row],[Coupon Frequency2]]</f>
        <v>87.5</v>
      </c>
      <c r="V484" s="23">
        <f>RATE(Table1[[#This Row],[Total No. of Coupons]],Table1[[#This Row],[Coupon Amount]],-Table1[[#This Row],[Ask Price]],Table1[[#This Row],[Face value]])</f>
        <v>8.4962590726805481E-2</v>
      </c>
      <c r="W484" s="24">
        <f>Table1[[#This Row],[IRR]]*Table1[[#This Row],[Coupon Frequency2]]</f>
        <v>8.4962590726805481E-2</v>
      </c>
      <c r="X484" s="25" cm="1">
        <f t="array" ref="X48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4" s="26">
        <f>DURATION(Table1[[#This Row],[Issue date]],Table1[[#This Row],[Maturity date]],Table1[[#This Row],[Current coupon %]],Table1[[#This Row],[Yield (Annualised)]],Table1[[#This Row],[Coupon Frequency2]])</f>
        <v>4.2616250440415051</v>
      </c>
      <c r="Z484" s="26">
        <f>Table1[[#This Row],[Macaulay Duration in Years]]/(1+Table1[[#This Row],[IRR]])</f>
        <v>3.9279004460298355</v>
      </c>
      <c r="AA484" s="27">
        <f>VLOOKUP(Table1[[#This Row],[Yield Cluster]],'[1]Cluster Details'!$B$3:$C$16,2,0)</f>
        <v>7.8548801574189142E-2</v>
      </c>
      <c r="AB484" s="28">
        <f>PRICE(Table1[[#This Row],[Issue date]],Table1[[#This Row],[Maturity date]],Table1[[#This Row],[Current coupon %]],Table1[[#This Row],[Average Cluster Yield]],100,Table1[[#This Row],[Coupon Frequency2]])*Table1[[#This Row],[Face value]]/100</f>
        <v>1035.8766551586157</v>
      </c>
      <c r="AC484" s="27" t="str">
        <f>IF(Table1[[#This Row],[Ask Price]]&gt;Table1[[#This Row],[Calculated Bond Price]],"Rich","Cheap")</f>
        <v>Cheap</v>
      </c>
      <c r="AD484" s="28">
        <f>PRICE(Table1[[#This Row],[Issue date]],Table1[[#This Row],[Maturity date]],Table1[[#This Row],[Current coupon %]],Table1[[#This Row],[Yield (Annualised)]]+$AE$2,100,Table1[[#This Row],[Coupon Frequency2]])*Table1[[#This Row],[Face value]]/100</f>
        <v>971.34306485724676</v>
      </c>
      <c r="AE484" s="28">
        <f>PRICE(Table1[[#This Row],[Issue date]],Table1[[#This Row],[Maturity date]],Table1[[#This Row],[Current coupon %]],Table1[[#This Row],[Yield (Annualised)]]-$AE$2,100,Table1[[#This Row],[Coupon Frequency2]])*Table1[[#This Row],[Face value]]/100</f>
        <v>1050.729956123098</v>
      </c>
      <c r="AF484" s="28">
        <f>(Table1[[#This Row],[P (+ shock)]]+Table1[[#This Row],[P (-shock)]]-2*Table1[[#This Row],[Ask Price]])/(2*Table1[[#This Row],[Ask Price]]*($AE$2^2))</f>
        <v>10.262480100715884</v>
      </c>
    </row>
    <row r="485" spans="1:32" x14ac:dyDescent="0.25">
      <c r="A485" s="21" t="s">
        <v>1016</v>
      </c>
      <c r="B485" s="3" t="s">
        <v>1017</v>
      </c>
      <c r="C485" s="3" t="s">
        <v>19</v>
      </c>
      <c r="D485" s="4">
        <v>45320</v>
      </c>
      <c r="E485" s="4">
        <v>46051</v>
      </c>
      <c r="F485" s="3">
        <v>1000</v>
      </c>
      <c r="G485" s="3" t="s">
        <v>20</v>
      </c>
      <c r="H485" s="3">
        <v>1035</v>
      </c>
      <c r="I485" s="3" t="s">
        <v>20</v>
      </c>
      <c r="J485" s="3">
        <v>103.49999999999901</v>
      </c>
      <c r="K485" s="3">
        <v>50</v>
      </c>
      <c r="L485" s="5">
        <v>8.9499999999999996E-2</v>
      </c>
      <c r="M485" s="3" t="s">
        <v>21</v>
      </c>
      <c r="N485" s="3">
        <v>134</v>
      </c>
      <c r="O485" s="6">
        <f>Table1[[#This Row],[Current coupon %]]*Table1[[#This Row],[Face value]]/Table1[[#This Row],[Ask Price]]</f>
        <v>8.6473429951690828E-2</v>
      </c>
      <c r="P485" s="3"/>
      <c r="Q485" s="3" t="s">
        <v>22</v>
      </c>
      <c r="R485">
        <f t="shared" si="7"/>
        <v>2</v>
      </c>
      <c r="S485" s="22" cm="1">
        <f t="array" ref="S485">_xlfn.IFS(Table1[[#This Row],[Coupon frequency]]="Semi-annual",2,Table1[[#This Row],[Coupon frequency]]="Quarterly",4,Table1[[#This Row],[Coupon frequency]]="Annual",1,Table1[[#This Row],[Coupon frequency]]="Every 4 months",3,Table1[[#This Row],[Coupon frequency]]="Monthly",12)</f>
        <v>1</v>
      </c>
      <c r="T485">
        <f>Table1[[#This Row],[Term to Maturity (Years)]]*Table1[[#This Row],[Coupon Frequency2]]</f>
        <v>2</v>
      </c>
      <c r="U485">
        <f>Table1[[#This Row],[Face value]]*Table1[[#This Row],[Current coupon %]]/Table1[[#This Row],[Coupon Frequency2]]</f>
        <v>89.5</v>
      </c>
      <c r="V485" s="23">
        <f>RATE(Table1[[#This Row],[Total No. of Coupons]],Table1[[#This Row],[Coupon Amount]],-Table1[[#This Row],[Ask Price]],Table1[[#This Row],[Face value]])</f>
        <v>7.0138082368463625E-2</v>
      </c>
      <c r="W485" s="24">
        <f>Table1[[#This Row],[IRR]]*Table1[[#This Row],[Coupon Frequency2]]</f>
        <v>7.0138082368463625E-2</v>
      </c>
      <c r="X485" s="25" cm="1">
        <f t="array" ref="X48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5" s="26">
        <f>DURATION(Table1[[#This Row],[Issue date]],Table1[[#This Row],[Maturity date]],Table1[[#This Row],[Current coupon %]],Table1[[#This Row],[Yield (Annualised)]],Table1[[#This Row],[Coupon Frequency2]])</f>
        <v>1.9191941382365294</v>
      </c>
      <c r="Z485" s="26">
        <f>Table1[[#This Row],[Macaulay Duration in Years]]/(1+Table1[[#This Row],[IRR]])</f>
        <v>1.7934079441308246</v>
      </c>
      <c r="AA485" s="27">
        <f>VLOOKUP(Table1[[#This Row],[Yield Cluster]],'[1]Cluster Details'!$B$3:$C$16,2,0)</f>
        <v>7.8548801574189142E-2</v>
      </c>
      <c r="AB485" s="28">
        <f>PRICE(Table1[[#This Row],[Issue date]],Table1[[#This Row],[Maturity date]],Table1[[#This Row],[Current coupon %]],Table1[[#This Row],[Average Cluster Yield]],100,Table1[[#This Row],[Coupon Frequency2]])*Table1[[#This Row],[Face value]]/100</f>
        <v>1019.5678122390063</v>
      </c>
      <c r="AC485" s="27" t="str">
        <f>IF(Table1[[#This Row],[Ask Price]]&gt;Table1[[#This Row],[Calculated Bond Price]],"Rich","Cheap")</f>
        <v>Rich</v>
      </c>
      <c r="AD485" s="28">
        <f>PRICE(Table1[[#This Row],[Issue date]],Table1[[#This Row],[Maturity date]],Table1[[#This Row],[Current coupon %]],Table1[[#This Row],[Yield (Annualised)]]+$AE$2,100,Table1[[#This Row],[Coupon Frequency2]])*Table1[[#This Row],[Face value]]/100</f>
        <v>1016.6916175103304</v>
      </c>
      <c r="AE485" s="28">
        <f>PRICE(Table1[[#This Row],[Issue date]],Table1[[#This Row],[Maturity date]],Table1[[#This Row],[Current coupon %]],Table1[[#This Row],[Yield (Annualised)]]-$AE$2,100,Table1[[#This Row],[Coupon Frequency2]])*Table1[[#This Row],[Face value]]/100</f>
        <v>1053.8215096463668</v>
      </c>
      <c r="AF485" s="28">
        <f>(Table1[[#This Row],[P (+ shock)]]+Table1[[#This Row],[P (-shock)]]-2*Table1[[#This Row],[Ask Price]])/(2*Table1[[#This Row],[Ask Price]]*($AE$2^2))</f>
        <v>2.4788751531256517</v>
      </c>
    </row>
    <row r="486" spans="1:32" x14ac:dyDescent="0.25">
      <c r="A486" s="21" t="s">
        <v>1018</v>
      </c>
      <c r="B486" s="3" t="s">
        <v>1019</v>
      </c>
      <c r="C486" s="3" t="s">
        <v>19</v>
      </c>
      <c r="D486" s="4">
        <v>42783</v>
      </c>
      <c r="E486" s="4">
        <v>46433</v>
      </c>
      <c r="F486" s="3">
        <v>1000000</v>
      </c>
      <c r="G486" s="3" t="s">
        <v>20</v>
      </c>
      <c r="H486" s="3">
        <v>1037821</v>
      </c>
      <c r="I486" s="3" t="s">
        <v>20</v>
      </c>
      <c r="J486" s="3">
        <v>103.7821</v>
      </c>
      <c r="K486" s="3">
        <v>1</v>
      </c>
      <c r="L486" s="5">
        <v>8.9700000000000002E-2</v>
      </c>
      <c r="M486" s="3" t="s">
        <v>44</v>
      </c>
      <c r="N486" s="3">
        <v>516</v>
      </c>
      <c r="O486" s="6">
        <f>Table1[[#This Row],[Current coupon %]]*Table1[[#This Row],[Face value]]/Table1[[#This Row],[Ask Price]]</f>
        <v>8.6431089754398879E-2</v>
      </c>
      <c r="P486" s="3"/>
      <c r="Q486" s="3" t="s">
        <v>22</v>
      </c>
      <c r="R486">
        <f t="shared" si="7"/>
        <v>10</v>
      </c>
      <c r="S486" s="22" cm="1">
        <f t="array" ref="S486">_xlfn.IFS(Table1[[#This Row],[Coupon frequency]]="Semi-annual",2,Table1[[#This Row],[Coupon frequency]]="Quarterly",4,Table1[[#This Row],[Coupon frequency]]="Annual",1,Table1[[#This Row],[Coupon frequency]]="Every 4 months",3,Table1[[#This Row],[Coupon frequency]]="Monthly",12)</f>
        <v>4</v>
      </c>
      <c r="T486">
        <f>Table1[[#This Row],[Term to Maturity (Years)]]*Table1[[#This Row],[Coupon Frequency2]]</f>
        <v>40</v>
      </c>
      <c r="U486">
        <f>Table1[[#This Row],[Face value]]*Table1[[#This Row],[Current coupon %]]/Table1[[#This Row],[Coupon Frequency2]]</f>
        <v>22425</v>
      </c>
      <c r="V486" s="23">
        <f>RATE(Table1[[#This Row],[Total No. of Coupons]],Table1[[#This Row],[Coupon Amount]],-Table1[[#This Row],[Ask Price]],Table1[[#This Row],[Face value]])</f>
        <v>2.1017631603863635E-2</v>
      </c>
      <c r="W486" s="24">
        <f>Table1[[#This Row],[IRR]]*Table1[[#This Row],[Coupon Frequency2]]</f>
        <v>8.4070526415454538E-2</v>
      </c>
      <c r="X486" s="25" cm="1">
        <f t="array" ref="X48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6" s="26">
        <f>DURATION(Table1[[#This Row],[Issue date]],Table1[[#This Row],[Maturity date]],Table1[[#This Row],[Current coupon %]],Table1[[#This Row],[Yield (Annualised)]],Table1[[#This Row],[Coupon Frequency2]])</f>
        <v>6.7658618070592729</v>
      </c>
      <c r="Z486" s="26">
        <f>Table1[[#This Row],[Macaulay Duration in Years]]/(1+Table1[[#This Row],[IRR]])</f>
        <v>6.6265866500572876</v>
      </c>
      <c r="AA486" s="27">
        <f>VLOOKUP(Table1[[#This Row],[Yield Cluster]],'[1]Cluster Details'!$B$3:$C$16,2,0)</f>
        <v>7.8548801574189142E-2</v>
      </c>
      <c r="AB486" s="28">
        <f>PRICE(Table1[[#This Row],[Issue date]],Table1[[#This Row],[Maturity date]],Table1[[#This Row],[Current coupon %]],Table1[[#This Row],[Average Cluster Yield]],100,Table1[[#This Row],[Coupon Frequency2]])*Table1[[#This Row],[Face value]]/100</f>
        <v>1076716.1718191805</v>
      </c>
      <c r="AC486" s="27" t="str">
        <f>IF(Table1[[#This Row],[Ask Price]]&gt;Table1[[#This Row],[Calculated Bond Price]],"Rich","Cheap")</f>
        <v>Cheap</v>
      </c>
      <c r="AD486" s="28">
        <f>PRICE(Table1[[#This Row],[Issue date]],Table1[[#This Row],[Maturity date]],Table1[[#This Row],[Current coupon %]],Table1[[#This Row],[Yield (Annualised)]]+$AE$2,100,Table1[[#This Row],[Coupon Frequency2]])*Table1[[#This Row],[Face value]]/100</f>
        <v>971878.14149812574</v>
      </c>
      <c r="AE486" s="28">
        <f>PRICE(Table1[[#This Row],[Issue date]],Table1[[#This Row],[Maturity date]],Table1[[#This Row],[Current coupon %]],Table1[[#This Row],[Yield (Annualised)]]-$AE$2,100,Table1[[#This Row],[Coupon Frequency2]])*Table1[[#This Row],[Face value]]/100</f>
        <v>1109674.4996556935</v>
      </c>
      <c r="AF486" s="28">
        <f>(Table1[[#This Row],[P (+ shock)]]+Table1[[#This Row],[P (-shock)]]-2*Table1[[#This Row],[Ask Price]])/(2*Table1[[#This Row],[Ask Price]]*($AE$2^2))</f>
        <v>28.476207138896754</v>
      </c>
    </row>
    <row r="487" spans="1:32" x14ac:dyDescent="0.25">
      <c r="A487" s="21" t="s">
        <v>1020</v>
      </c>
      <c r="B487" s="3" t="s">
        <v>1021</v>
      </c>
      <c r="C487" s="3" t="s">
        <v>19</v>
      </c>
      <c r="D487" s="4">
        <v>45233</v>
      </c>
      <c r="E487" s="4">
        <v>48886</v>
      </c>
      <c r="F487" s="3">
        <v>1000</v>
      </c>
      <c r="G487" s="3" t="s">
        <v>20</v>
      </c>
      <c r="H487" s="3">
        <v>1082</v>
      </c>
      <c r="I487" s="3" t="s">
        <v>20</v>
      </c>
      <c r="J487" s="3">
        <v>108.2</v>
      </c>
      <c r="K487" s="3">
        <v>100</v>
      </c>
      <c r="L487" s="5">
        <v>9.35E-2</v>
      </c>
      <c r="M487" s="3" t="s">
        <v>21</v>
      </c>
      <c r="N487" s="3">
        <v>2969</v>
      </c>
      <c r="O487" s="6">
        <f>Table1[[#This Row],[Current coupon %]]*Table1[[#This Row],[Face value]]/Table1[[#This Row],[Ask Price]]</f>
        <v>8.641404805914972E-2</v>
      </c>
      <c r="P487" s="3"/>
      <c r="Q487" s="3" t="s">
        <v>22</v>
      </c>
      <c r="R487">
        <f t="shared" si="7"/>
        <v>10</v>
      </c>
      <c r="S487" s="22" cm="1">
        <f t="array" ref="S487">_xlfn.IFS(Table1[[#This Row],[Coupon frequency]]="Semi-annual",2,Table1[[#This Row],[Coupon frequency]]="Quarterly",4,Table1[[#This Row],[Coupon frequency]]="Annual",1,Table1[[#This Row],[Coupon frequency]]="Every 4 months",3,Table1[[#This Row],[Coupon frequency]]="Monthly",12)</f>
        <v>1</v>
      </c>
      <c r="T487">
        <f>Table1[[#This Row],[Term to Maturity (Years)]]*Table1[[#This Row],[Coupon Frequency2]]</f>
        <v>10</v>
      </c>
      <c r="U487">
        <f>Table1[[#This Row],[Face value]]*Table1[[#This Row],[Current coupon %]]/Table1[[#This Row],[Coupon Frequency2]]</f>
        <v>93.5</v>
      </c>
      <c r="V487" s="23">
        <f>RATE(Table1[[#This Row],[Total No. of Coupons]],Table1[[#This Row],[Coupon Amount]],-Table1[[#This Row],[Ask Price]],Table1[[#This Row],[Face value]])</f>
        <v>8.1212656914611256E-2</v>
      </c>
      <c r="W487" s="24">
        <f>Table1[[#This Row],[IRR]]*Table1[[#This Row],[Coupon Frequency2]]</f>
        <v>8.1212656914611256E-2</v>
      </c>
      <c r="X487" s="25" cm="1">
        <f t="array" ref="X48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7" s="26">
        <f>DURATION(Table1[[#This Row],[Issue date]],Table1[[#This Row],[Maturity date]],Table1[[#This Row],[Current coupon %]],Table1[[#This Row],[Yield (Annualised)]],Table1[[#This Row],[Coupon Frequency2]])</f>
        <v>7.037172216849541</v>
      </c>
      <c r="Z487" s="26">
        <f>Table1[[#This Row],[Macaulay Duration in Years]]/(1+Table1[[#This Row],[IRR]])</f>
        <v>6.5085921551557471</v>
      </c>
      <c r="AA487" s="27">
        <f>VLOOKUP(Table1[[#This Row],[Yield Cluster]],'[1]Cluster Details'!$B$3:$C$16,2,0)</f>
        <v>7.8548801574189142E-2</v>
      </c>
      <c r="AB487" s="28">
        <f>PRICE(Table1[[#This Row],[Issue date]],Table1[[#This Row],[Maturity date]],Table1[[#This Row],[Current coupon %]],Table1[[#This Row],[Average Cluster Yield]],100,Table1[[#This Row],[Coupon Frequency2]])*Table1[[#This Row],[Face value]]/100</f>
        <v>1100.9837669068575</v>
      </c>
      <c r="AC487" s="27" t="str">
        <f>IF(Table1[[#This Row],[Ask Price]]&gt;Table1[[#This Row],[Calculated Bond Price]],"Rich","Cheap")</f>
        <v>Cheap</v>
      </c>
      <c r="AD487" s="28">
        <f>PRICE(Table1[[#This Row],[Issue date]],Table1[[#This Row],[Maturity date]],Table1[[#This Row],[Current coupon %]],Table1[[#This Row],[Yield (Annualised)]]+$AE$2,100,Table1[[#This Row],[Coupon Frequency2]])*Table1[[#This Row],[Face value]]/100</f>
        <v>1014.6013552352982</v>
      </c>
      <c r="AE487" s="28">
        <f>PRICE(Table1[[#This Row],[Issue date]],Table1[[#This Row],[Maturity date]],Table1[[#This Row],[Current coupon %]],Table1[[#This Row],[Yield (Annualised)]]-$AE$2,100,Table1[[#This Row],[Coupon Frequency2]])*Table1[[#This Row],[Face value]]/100</f>
        <v>1155.6632568785481</v>
      </c>
      <c r="AF487" s="28">
        <f>(Table1[[#This Row],[P (+ shock)]]+Table1[[#This Row],[P (-shock)]]-2*Table1[[#This Row],[Ask Price]])/(2*Table1[[#This Row],[Ask Price]]*($AE$2^2))</f>
        <v>28.9492241859815</v>
      </c>
    </row>
    <row r="488" spans="1:32" x14ac:dyDescent="0.25">
      <c r="A488" s="21" t="s">
        <v>1022</v>
      </c>
      <c r="B488" s="3" t="s">
        <v>1023</v>
      </c>
      <c r="C488" s="3" t="s">
        <v>19</v>
      </c>
      <c r="D488" s="4">
        <v>44958</v>
      </c>
      <c r="E488" s="4">
        <v>46419</v>
      </c>
      <c r="F488" s="3">
        <v>1000</v>
      </c>
      <c r="G488" s="3" t="s">
        <v>20</v>
      </c>
      <c r="H488" s="3">
        <v>1007</v>
      </c>
      <c r="I488" s="3" t="s">
        <v>20</v>
      </c>
      <c r="J488" s="3">
        <v>100.69999999999899</v>
      </c>
      <c r="K488" s="3">
        <v>20</v>
      </c>
      <c r="L488" s="5">
        <v>8.6999999999999994E-2</v>
      </c>
      <c r="M488" s="3" t="s">
        <v>21</v>
      </c>
      <c r="N488" s="3">
        <v>502</v>
      </c>
      <c r="O488" s="6">
        <f>Table1[[#This Row],[Current coupon %]]*Table1[[#This Row],[Face value]]/Table1[[#This Row],[Ask Price]]</f>
        <v>8.6395233366434954E-2</v>
      </c>
      <c r="P488" s="3"/>
      <c r="Q488" s="3" t="s">
        <v>22</v>
      </c>
      <c r="R488">
        <f t="shared" si="7"/>
        <v>4</v>
      </c>
      <c r="S488" s="22" cm="1">
        <f t="array" ref="S488">_xlfn.IFS(Table1[[#This Row],[Coupon frequency]]="Semi-annual",2,Table1[[#This Row],[Coupon frequency]]="Quarterly",4,Table1[[#This Row],[Coupon frequency]]="Annual",1,Table1[[#This Row],[Coupon frequency]]="Every 4 months",3,Table1[[#This Row],[Coupon frequency]]="Monthly",12)</f>
        <v>1</v>
      </c>
      <c r="T488">
        <f>Table1[[#This Row],[Term to Maturity (Years)]]*Table1[[#This Row],[Coupon Frequency2]]</f>
        <v>4</v>
      </c>
      <c r="U488">
        <f>Table1[[#This Row],[Face value]]*Table1[[#This Row],[Current coupon %]]/Table1[[#This Row],[Coupon Frequency2]]</f>
        <v>87</v>
      </c>
      <c r="V488" s="23">
        <f>RATE(Table1[[#This Row],[Total No. of Coupons]],Table1[[#This Row],[Coupon Amount]],-Table1[[#This Row],[Ask Price]],Table1[[#This Row],[Face value]])</f>
        <v>8.4863628868875718E-2</v>
      </c>
      <c r="W488" s="24">
        <f>Table1[[#This Row],[IRR]]*Table1[[#This Row],[Coupon Frequency2]]</f>
        <v>8.4863628868875718E-2</v>
      </c>
      <c r="X488" s="25" cm="1">
        <f t="array" ref="X48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8" s="26">
        <f>DURATION(Table1[[#This Row],[Issue date]],Table1[[#This Row],[Maturity date]],Table1[[#This Row],[Current coupon %]],Table1[[#This Row],[Yield (Annualised)]],Table1[[#This Row],[Coupon Frequency2]])</f>
        <v>3.5466094248702493</v>
      </c>
      <c r="Z488" s="26">
        <f>Table1[[#This Row],[Macaulay Duration in Years]]/(1+Table1[[#This Row],[IRR]])</f>
        <v>3.2691753419442153</v>
      </c>
      <c r="AA488" s="27">
        <f>VLOOKUP(Table1[[#This Row],[Yield Cluster]],'[1]Cluster Details'!$B$3:$C$16,2,0)</f>
        <v>7.8548801574189142E-2</v>
      </c>
      <c r="AB488" s="28">
        <f>PRICE(Table1[[#This Row],[Issue date]],Table1[[#This Row],[Maturity date]],Table1[[#This Row],[Current coupon %]],Table1[[#This Row],[Average Cluster Yield]],100,Table1[[#This Row],[Coupon Frequency2]])*Table1[[#This Row],[Face value]]/100</f>
        <v>1028.0820980275982</v>
      </c>
      <c r="AC488" s="27" t="str">
        <f>IF(Table1[[#This Row],[Ask Price]]&gt;Table1[[#This Row],[Calculated Bond Price]],"Rich","Cheap")</f>
        <v>Cheap</v>
      </c>
      <c r="AD488" s="28">
        <f>PRICE(Table1[[#This Row],[Issue date]],Table1[[#This Row],[Maturity date]],Table1[[#This Row],[Current coupon %]],Table1[[#This Row],[Yield (Annualised)]]+$AE$2,100,Table1[[#This Row],[Coupon Frequency2]])*Table1[[#This Row],[Face value]]/100</f>
        <v>974.79365745576786</v>
      </c>
      <c r="AE488" s="28">
        <f>PRICE(Table1[[#This Row],[Issue date]],Table1[[#This Row],[Maturity date]],Table1[[#This Row],[Current coupon %]],Table1[[#This Row],[Yield (Annualised)]]-$AE$2,100,Table1[[#This Row],[Coupon Frequency2]])*Table1[[#This Row],[Face value]]/100</f>
        <v>1040.6610956808684</v>
      </c>
      <c r="AF488" s="28">
        <f>(Table1[[#This Row],[P (+ shock)]]+Table1[[#This Row],[P (-shock)]]-2*Table1[[#This Row],[Ask Price]])/(2*Table1[[#This Row],[Ask Price]]*($AE$2^2))</f>
        <v>7.2232032603579928</v>
      </c>
    </row>
    <row r="489" spans="1:32" x14ac:dyDescent="0.25">
      <c r="A489" s="21" t="s">
        <v>1024</v>
      </c>
      <c r="B489" s="3" t="s">
        <v>1025</v>
      </c>
      <c r="C489" s="3" t="s">
        <v>19</v>
      </c>
      <c r="D489" s="4">
        <v>45085</v>
      </c>
      <c r="E489" s="4">
        <v>46181</v>
      </c>
      <c r="F489" s="3">
        <v>100000</v>
      </c>
      <c r="G489" s="3" t="s">
        <v>20</v>
      </c>
      <c r="H489" s="3">
        <v>104254</v>
      </c>
      <c r="I489" s="3" t="s">
        <v>20</v>
      </c>
      <c r="J489" s="3">
        <v>104.254</v>
      </c>
      <c r="K489" s="3">
        <v>20</v>
      </c>
      <c r="L489" s="5">
        <v>0.09</v>
      </c>
      <c r="M489" s="3" t="s">
        <v>21</v>
      </c>
      <c r="N489" s="3">
        <v>264</v>
      </c>
      <c r="O489" s="6">
        <f>Table1[[#This Row],[Current coupon %]]*Table1[[#This Row],[Face value]]/Table1[[#This Row],[Ask Price]]</f>
        <v>8.6327622920943078E-2</v>
      </c>
      <c r="P489" s="3"/>
      <c r="Q489" s="3" t="s">
        <v>22</v>
      </c>
      <c r="R489">
        <f t="shared" si="7"/>
        <v>3</v>
      </c>
      <c r="S489" s="22" cm="1">
        <f t="array" ref="S489">_xlfn.IFS(Table1[[#This Row],[Coupon frequency]]="Semi-annual",2,Table1[[#This Row],[Coupon frequency]]="Quarterly",4,Table1[[#This Row],[Coupon frequency]]="Annual",1,Table1[[#This Row],[Coupon frequency]]="Every 4 months",3,Table1[[#This Row],[Coupon frequency]]="Monthly",12)</f>
        <v>1</v>
      </c>
      <c r="T489">
        <f>Table1[[#This Row],[Term to Maturity (Years)]]*Table1[[#This Row],[Coupon Frequency2]]</f>
        <v>3</v>
      </c>
      <c r="U489">
        <f>Table1[[#This Row],[Face value]]*Table1[[#This Row],[Current coupon %]]/Table1[[#This Row],[Coupon Frequency2]]</f>
        <v>9000</v>
      </c>
      <c r="V489" s="23">
        <f>RATE(Table1[[#This Row],[Total No. of Coupons]],Table1[[#This Row],[Coupon Amount]],-Table1[[#This Row],[Ask Price]],Table1[[#This Row],[Face value]])</f>
        <v>7.3680932088383846E-2</v>
      </c>
      <c r="W489" s="24">
        <f>Table1[[#This Row],[IRR]]*Table1[[#This Row],[Coupon Frequency2]]</f>
        <v>7.3680932088383846E-2</v>
      </c>
      <c r="X489" s="25" cm="1">
        <f t="array" ref="X48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89" s="26">
        <f>DURATION(Table1[[#This Row],[Issue date]],Table1[[#This Row],[Maturity date]],Table1[[#This Row],[Current coupon %]],Table1[[#This Row],[Yield (Annualised)]],Table1[[#This Row],[Coupon Frequency2]])</f>
        <v>2.7643073822051658</v>
      </c>
      <c r="Z489" s="26">
        <f>Table1[[#This Row],[Macaulay Duration in Years]]/(1+Table1[[#This Row],[IRR]])</f>
        <v>2.5746078742670755</v>
      </c>
      <c r="AA489" s="27">
        <f>VLOOKUP(Table1[[#This Row],[Yield Cluster]],'[1]Cluster Details'!$B$3:$C$16,2,0)</f>
        <v>7.8548801574189142E-2</v>
      </c>
      <c r="AB489" s="28">
        <f>PRICE(Table1[[#This Row],[Issue date]],Table1[[#This Row],[Maturity date]],Table1[[#This Row],[Current coupon %]],Table1[[#This Row],[Average Cluster Yield]],100,Table1[[#This Row],[Coupon Frequency2]])*Table1[[#This Row],[Face value]]/100</f>
        <v>102958.82951674944</v>
      </c>
      <c r="AC489" s="27" t="str">
        <f>IF(Table1[[#This Row],[Ask Price]]&gt;Table1[[#This Row],[Calculated Bond Price]],"Rich","Cheap")</f>
        <v>Rich</v>
      </c>
      <c r="AD489" s="28">
        <f>PRICE(Table1[[#This Row],[Issue date]],Table1[[#This Row],[Maturity date]],Table1[[#This Row],[Current coupon %]],Table1[[#This Row],[Yield (Annualised)]]+$AE$2,100,Table1[[#This Row],[Coupon Frequency2]])*Table1[[#This Row],[Face value]]/100</f>
        <v>101617.72927655999</v>
      </c>
      <c r="AE489" s="28">
        <f>PRICE(Table1[[#This Row],[Issue date]],Table1[[#This Row],[Maturity date]],Table1[[#This Row],[Current coupon %]],Table1[[#This Row],[Yield (Annualised)]]-$AE$2,100,Table1[[#This Row],[Coupon Frequency2]])*Table1[[#This Row],[Face value]]/100</f>
        <v>106987.47993635145</v>
      </c>
      <c r="AF489" s="28">
        <f>(Table1[[#This Row],[P (+ shock)]]+Table1[[#This Row],[P (-shock)]]-2*Table1[[#This Row],[Ask Price]])/(2*Table1[[#This Row],[Ask Price]]*($AE$2^2))</f>
        <v>4.6621334870331923</v>
      </c>
    </row>
    <row r="490" spans="1:32" x14ac:dyDescent="0.25">
      <c r="A490" s="21" t="s">
        <v>1026</v>
      </c>
      <c r="B490" s="3" t="s">
        <v>1027</v>
      </c>
      <c r="C490" s="3" t="s">
        <v>19</v>
      </c>
      <c r="D490" s="4">
        <v>43858</v>
      </c>
      <c r="E490" s="4">
        <v>46415</v>
      </c>
      <c r="F490" s="3">
        <v>1000</v>
      </c>
      <c r="G490" s="3" t="s">
        <v>20</v>
      </c>
      <c r="H490" s="3">
        <v>1054.3</v>
      </c>
      <c r="I490" s="3" t="s">
        <v>20</v>
      </c>
      <c r="J490" s="3">
        <v>105.43</v>
      </c>
      <c r="K490" s="3">
        <v>300</v>
      </c>
      <c r="L490" s="5">
        <v>9.0999999999999998E-2</v>
      </c>
      <c r="M490" s="3" t="s">
        <v>21</v>
      </c>
      <c r="N490" s="3">
        <v>498</v>
      </c>
      <c r="O490" s="6">
        <f>Table1[[#This Row],[Current coupon %]]*Table1[[#This Row],[Face value]]/Table1[[#This Row],[Ask Price]]</f>
        <v>8.6313193588162765E-2</v>
      </c>
      <c r="P490" s="3" t="s">
        <v>97</v>
      </c>
      <c r="Q490" s="3" t="s">
        <v>22</v>
      </c>
      <c r="R490">
        <f t="shared" si="7"/>
        <v>7</v>
      </c>
      <c r="S490" s="22" cm="1">
        <f t="array" ref="S490">_xlfn.IFS(Table1[[#This Row],[Coupon frequency]]="Semi-annual",2,Table1[[#This Row],[Coupon frequency]]="Quarterly",4,Table1[[#This Row],[Coupon frequency]]="Annual",1,Table1[[#This Row],[Coupon frequency]]="Every 4 months",3,Table1[[#This Row],[Coupon frequency]]="Monthly",12)</f>
        <v>1</v>
      </c>
      <c r="T490">
        <f>Table1[[#This Row],[Term to Maturity (Years)]]*Table1[[#This Row],[Coupon Frequency2]]</f>
        <v>7</v>
      </c>
      <c r="U490">
        <f>Table1[[#This Row],[Face value]]*Table1[[#This Row],[Current coupon %]]/Table1[[#This Row],[Coupon Frequency2]]</f>
        <v>91</v>
      </c>
      <c r="V490" s="23">
        <f>RATE(Table1[[#This Row],[Total No. of Coupons]],Table1[[#This Row],[Coupon Amount]],-Table1[[#This Row],[Ask Price]],Table1[[#This Row],[Face value]])</f>
        <v>8.0550813157910087E-2</v>
      </c>
      <c r="W490" s="24">
        <f>Table1[[#This Row],[IRR]]*Table1[[#This Row],[Coupon Frequency2]]</f>
        <v>8.0550813157910087E-2</v>
      </c>
      <c r="X490" s="25" cm="1">
        <f t="array" ref="X49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0" s="26">
        <f>DURATION(Table1[[#This Row],[Issue date]],Table1[[#This Row],[Maturity date]],Table1[[#This Row],[Current coupon %]],Table1[[#This Row],[Yield (Annualised)]],Table1[[#This Row],[Coupon Frequency2]])</f>
        <v>5.5160978622733401</v>
      </c>
      <c r="Z490" s="26">
        <f>Table1[[#This Row],[Macaulay Duration in Years]]/(1+Table1[[#This Row],[IRR]])</f>
        <v>5.1048944622535082</v>
      </c>
      <c r="AA490" s="27">
        <f>VLOOKUP(Table1[[#This Row],[Yield Cluster]],'[1]Cluster Details'!$B$3:$C$16,2,0)</f>
        <v>7.8548801574189142E-2</v>
      </c>
      <c r="AB490" s="28">
        <f>PRICE(Table1[[#This Row],[Issue date]],Table1[[#This Row],[Maturity date]],Table1[[#This Row],[Current coupon %]],Table1[[#This Row],[Average Cluster Yield]],100,Table1[[#This Row],[Coupon Frequency2]])*Table1[[#This Row],[Face value]]/100</f>
        <v>1065.1485372670677</v>
      </c>
      <c r="AC490" s="27" t="str">
        <f>IF(Table1[[#This Row],[Ask Price]]&gt;Table1[[#This Row],[Calculated Bond Price]],"Rich","Cheap")</f>
        <v>Cheap</v>
      </c>
      <c r="AD490" s="28">
        <f>PRICE(Table1[[#This Row],[Issue date]],Table1[[#This Row],[Maturity date]],Table1[[#This Row],[Current coupon %]],Table1[[#This Row],[Yield (Annualised)]]+$AE$2,100,Table1[[#This Row],[Coupon Frequency2]])*Table1[[#This Row],[Face value]]/100</f>
        <v>1002.2565639233259</v>
      </c>
      <c r="AE490" s="28">
        <f>PRICE(Table1[[#This Row],[Issue date]],Table1[[#This Row],[Maturity date]],Table1[[#This Row],[Current coupon %]],Table1[[#This Row],[Yield (Annualised)]]-$AE$2,100,Table1[[#This Row],[Coupon Frequency2]])*Table1[[#This Row],[Face value]]/100</f>
        <v>1109.9952683347242</v>
      </c>
      <c r="AF490" s="28">
        <f>(Table1[[#This Row],[P (+ shock)]]+Table1[[#This Row],[P (-shock)]]-2*Table1[[#This Row],[Ask Price]])/(2*Table1[[#This Row],[Ask Price]]*($AE$2^2))</f>
        <v>17.318753002229137</v>
      </c>
    </row>
    <row r="491" spans="1:32" x14ac:dyDescent="0.25">
      <c r="A491" s="21" t="s">
        <v>1028</v>
      </c>
      <c r="B491" s="3" t="s">
        <v>1029</v>
      </c>
      <c r="C491" s="3" t="s">
        <v>19</v>
      </c>
      <c r="D491" s="4">
        <v>43483</v>
      </c>
      <c r="E491" s="4">
        <v>46405</v>
      </c>
      <c r="F491" s="3">
        <v>1000</v>
      </c>
      <c r="G491" s="3" t="s">
        <v>20</v>
      </c>
      <c r="H491" s="3">
        <v>1066</v>
      </c>
      <c r="I491" s="3" t="s">
        <v>20</v>
      </c>
      <c r="J491" s="3">
        <v>106.6</v>
      </c>
      <c r="K491" s="3">
        <v>10</v>
      </c>
      <c r="L491" s="5">
        <v>9.1999999999999998E-2</v>
      </c>
      <c r="M491" s="3" t="s">
        <v>21</v>
      </c>
      <c r="N491" s="3">
        <v>488</v>
      </c>
      <c r="O491" s="6">
        <f>Table1[[#This Row],[Current coupon %]]*Table1[[#This Row],[Face value]]/Table1[[#This Row],[Ask Price]]</f>
        <v>8.6303939962476553E-2</v>
      </c>
      <c r="P491" s="3"/>
      <c r="Q491" s="3" t="s">
        <v>22</v>
      </c>
      <c r="R491">
        <f t="shared" si="7"/>
        <v>8</v>
      </c>
      <c r="S491" s="22" cm="1">
        <f t="array" ref="S491">_xlfn.IFS(Table1[[#This Row],[Coupon frequency]]="Semi-annual",2,Table1[[#This Row],[Coupon frequency]]="Quarterly",4,Table1[[#This Row],[Coupon frequency]]="Annual",1,Table1[[#This Row],[Coupon frequency]]="Every 4 months",3,Table1[[#This Row],[Coupon frequency]]="Monthly",12)</f>
        <v>1</v>
      </c>
      <c r="T491">
        <f>Table1[[#This Row],[Term to Maturity (Years)]]*Table1[[#This Row],[Coupon Frequency2]]</f>
        <v>8</v>
      </c>
      <c r="U491">
        <f>Table1[[#This Row],[Face value]]*Table1[[#This Row],[Current coupon %]]/Table1[[#This Row],[Coupon Frequency2]]</f>
        <v>92</v>
      </c>
      <c r="V491" s="23">
        <f>RATE(Table1[[#This Row],[Total No. of Coupons]],Table1[[#This Row],[Coupon Amount]],-Table1[[#This Row],[Ask Price]],Table1[[#This Row],[Face value]])</f>
        <v>8.0493507396586728E-2</v>
      </c>
      <c r="W491" s="24">
        <f>Table1[[#This Row],[IRR]]*Table1[[#This Row],[Coupon Frequency2]]</f>
        <v>8.0493507396586728E-2</v>
      </c>
      <c r="X491" s="25" cm="1">
        <f t="array" ref="X49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1" s="26">
        <f>DURATION(Table1[[#This Row],[Issue date]],Table1[[#This Row],[Maturity date]],Table1[[#This Row],[Current coupon %]],Table1[[#This Row],[Yield (Annualised)]],Table1[[#This Row],[Coupon Frequency2]])</f>
        <v>6.0674873107082421</v>
      </c>
      <c r="Z491" s="26">
        <f>Table1[[#This Row],[Macaulay Duration in Years]]/(1+Table1[[#This Row],[IRR]])</f>
        <v>5.6154778063661412</v>
      </c>
      <c r="AA491" s="27">
        <f>VLOOKUP(Table1[[#This Row],[Yield Cluster]],'[1]Cluster Details'!$B$3:$C$16,2,0)</f>
        <v>7.8548801574189142E-2</v>
      </c>
      <c r="AB491" s="28">
        <f>PRICE(Table1[[#This Row],[Issue date]],Table1[[#This Row],[Maturity date]],Table1[[#This Row],[Current coupon %]],Table1[[#This Row],[Average Cluster Yield]],100,Table1[[#This Row],[Coupon Frequency2]])*Table1[[#This Row],[Face value]]/100</f>
        <v>1077.7267066184925</v>
      </c>
      <c r="AC491" s="27" t="str">
        <f>IF(Table1[[#This Row],[Ask Price]]&gt;Table1[[#This Row],[Calculated Bond Price]],"Rich","Cheap")</f>
        <v>Cheap</v>
      </c>
      <c r="AD491" s="28">
        <f>PRICE(Table1[[#This Row],[Issue date]],Table1[[#This Row],[Maturity date]],Table1[[#This Row],[Current coupon %]],Table1[[#This Row],[Yield (Annualised)]]+$AE$2,100,Table1[[#This Row],[Coupon Frequency2]])*Table1[[#This Row],[Face value]]/100</f>
        <v>1008.3228920196859</v>
      </c>
      <c r="AE491" s="28">
        <f>PRICE(Table1[[#This Row],[Issue date]],Table1[[#This Row],[Maturity date]],Table1[[#This Row],[Current coupon %]],Table1[[#This Row],[Yield (Annualised)]]-$AE$2,100,Table1[[#This Row],[Coupon Frequency2]])*Table1[[#This Row],[Face value]]/100</f>
        <v>1128.1764455198693</v>
      </c>
      <c r="AF491" s="28">
        <f>(Table1[[#This Row],[P (+ shock)]]+Table1[[#This Row],[P (-shock)]]-2*Table1[[#This Row],[Ask Price]])/(2*Table1[[#This Row],[Ask Price]]*($AE$2^2))</f>
        <v>21.103834613298307</v>
      </c>
    </row>
    <row r="492" spans="1:32" x14ac:dyDescent="0.25">
      <c r="A492" s="21" t="s">
        <v>1030</v>
      </c>
      <c r="B492" s="3" t="s">
        <v>1031</v>
      </c>
      <c r="C492" s="3" t="s">
        <v>19</v>
      </c>
      <c r="D492" s="4">
        <v>45000</v>
      </c>
      <c r="E492" s="4">
        <v>46188</v>
      </c>
      <c r="F492" s="3">
        <v>100000</v>
      </c>
      <c r="G492" s="3" t="s">
        <v>20</v>
      </c>
      <c r="H492" s="3">
        <v>101402.74</v>
      </c>
      <c r="I492" s="3" t="s">
        <v>20</v>
      </c>
      <c r="J492" s="3">
        <v>101.40273999999999</v>
      </c>
      <c r="K492" s="3">
        <v>5</v>
      </c>
      <c r="L492" s="5">
        <v>8.7499999999999994E-2</v>
      </c>
      <c r="M492" s="3" t="s">
        <v>21</v>
      </c>
      <c r="N492" s="3">
        <v>271</v>
      </c>
      <c r="O492" s="6">
        <f>Table1[[#This Row],[Current coupon %]]*Table1[[#This Row],[Face value]]/Table1[[#This Row],[Ask Price]]</f>
        <v>8.6289581524128439E-2</v>
      </c>
      <c r="P492" s="3" t="s">
        <v>97</v>
      </c>
      <c r="Q492" s="3" t="s">
        <v>22</v>
      </c>
      <c r="R492">
        <f t="shared" si="7"/>
        <v>3</v>
      </c>
      <c r="S492" s="22" cm="1">
        <f t="array" ref="S492">_xlfn.IFS(Table1[[#This Row],[Coupon frequency]]="Semi-annual",2,Table1[[#This Row],[Coupon frequency]]="Quarterly",4,Table1[[#This Row],[Coupon frequency]]="Annual",1,Table1[[#This Row],[Coupon frequency]]="Every 4 months",3,Table1[[#This Row],[Coupon frequency]]="Monthly",12)</f>
        <v>1</v>
      </c>
      <c r="T492">
        <f>Table1[[#This Row],[Term to Maturity (Years)]]*Table1[[#This Row],[Coupon Frequency2]]</f>
        <v>3</v>
      </c>
      <c r="U492">
        <f>Table1[[#This Row],[Face value]]*Table1[[#This Row],[Current coupon %]]/Table1[[#This Row],[Coupon Frequency2]]</f>
        <v>8750</v>
      </c>
      <c r="V492" s="23">
        <f>RATE(Table1[[#This Row],[Total No. of Coupons]],Table1[[#This Row],[Coupon Amount]],-Table1[[#This Row],[Ask Price]],Table1[[#This Row],[Face value]])</f>
        <v>8.2036882021625845E-2</v>
      </c>
      <c r="W492" s="24">
        <f>Table1[[#This Row],[IRR]]*Table1[[#This Row],[Coupon Frequency2]]</f>
        <v>8.2036882021625845E-2</v>
      </c>
      <c r="X492" s="25" cm="1">
        <f t="array" ref="X49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2" s="26">
        <f>DURATION(Table1[[#This Row],[Issue date]],Table1[[#This Row],[Maturity date]],Table1[[#This Row],[Current coupon %]],Table1[[#This Row],[Yield (Annualised)]],Table1[[#This Row],[Coupon Frequency2]])</f>
        <v>2.7970226246923664</v>
      </c>
      <c r="Z492" s="26">
        <f>Table1[[#This Row],[Macaulay Duration in Years]]/(1+Table1[[#This Row],[IRR]])</f>
        <v>2.5849605232185278</v>
      </c>
      <c r="AA492" s="27">
        <f>VLOOKUP(Table1[[#This Row],[Yield Cluster]],'[1]Cluster Details'!$B$3:$C$16,2,0)</f>
        <v>7.8548801574189142E-2</v>
      </c>
      <c r="AB492" s="28">
        <f>PRICE(Table1[[#This Row],[Issue date]],Table1[[#This Row],[Maturity date]],Table1[[#This Row],[Current coupon %]],Table1[[#This Row],[Average Cluster Yield]],100,Table1[[#This Row],[Coupon Frequency2]])*Table1[[#This Row],[Face value]]/100</f>
        <v>102420.54055149581</v>
      </c>
      <c r="AC492" s="27" t="str">
        <f>IF(Table1[[#This Row],[Ask Price]]&gt;Table1[[#This Row],[Calculated Bond Price]],"Rich","Cheap")</f>
        <v>Cheap</v>
      </c>
      <c r="AD492" s="28">
        <f>PRICE(Table1[[#This Row],[Issue date]],Table1[[#This Row],[Maturity date]],Table1[[#This Row],[Current coupon %]],Table1[[#This Row],[Yield (Annualised)]]+$AE$2,100,Table1[[#This Row],[Coupon Frequency2]])*Table1[[#This Row],[Face value]]/100</f>
        <v>98700.587066524997</v>
      </c>
      <c r="AE492" s="28">
        <f>PRICE(Table1[[#This Row],[Issue date]],Table1[[#This Row],[Maturity date]],Table1[[#This Row],[Current coupon %]],Table1[[#This Row],[Yield (Annualised)]]-$AE$2,100,Table1[[#This Row],[Coupon Frequency2]])*Table1[[#This Row],[Face value]]/100</f>
        <v>104285.93047154923</v>
      </c>
      <c r="AF492" s="28">
        <f>(Table1[[#This Row],[P (+ shock)]]+Table1[[#This Row],[P (-shock)]]-2*Table1[[#This Row],[Ask Price]])/(2*Table1[[#This Row],[Ask Price]]*($AE$2^2))</f>
        <v>8.9266590860473229</v>
      </c>
    </row>
    <row r="493" spans="1:32" x14ac:dyDescent="0.25">
      <c r="A493" s="21" t="s">
        <v>1032</v>
      </c>
      <c r="B493" s="3" t="s">
        <v>1033</v>
      </c>
      <c r="C493" s="3" t="s">
        <v>19</v>
      </c>
      <c r="D493" s="4">
        <v>44749</v>
      </c>
      <c r="E493" s="4">
        <v>48402</v>
      </c>
      <c r="F493" s="3">
        <v>1000000</v>
      </c>
      <c r="G493" s="3" t="s">
        <v>20</v>
      </c>
      <c r="H493" s="3">
        <v>945009</v>
      </c>
      <c r="I493" s="3" t="s">
        <v>20</v>
      </c>
      <c r="J493" s="3">
        <v>94.500900000000001</v>
      </c>
      <c r="K493" s="3">
        <v>1</v>
      </c>
      <c r="L493" s="5">
        <v>8.1500000000000003E-2</v>
      </c>
      <c r="M493" s="3" t="s">
        <v>21</v>
      </c>
      <c r="N493" s="3">
        <v>2485</v>
      </c>
      <c r="O493" s="6">
        <f>Table1[[#This Row],[Current coupon %]]*Table1[[#This Row],[Face value]]/Table1[[#This Row],[Ask Price]]</f>
        <v>8.6242564885625428E-2</v>
      </c>
      <c r="P493" s="3"/>
      <c r="Q493" s="3" t="s">
        <v>22</v>
      </c>
      <c r="R493">
        <f t="shared" si="7"/>
        <v>10</v>
      </c>
      <c r="S493" s="22" cm="1">
        <f t="array" ref="S493">_xlfn.IFS(Table1[[#This Row],[Coupon frequency]]="Semi-annual",2,Table1[[#This Row],[Coupon frequency]]="Quarterly",4,Table1[[#This Row],[Coupon frequency]]="Annual",1,Table1[[#This Row],[Coupon frequency]]="Every 4 months",3,Table1[[#This Row],[Coupon frequency]]="Monthly",12)</f>
        <v>1</v>
      </c>
      <c r="T493">
        <f>Table1[[#This Row],[Term to Maturity (Years)]]*Table1[[#This Row],[Coupon Frequency2]]</f>
        <v>10</v>
      </c>
      <c r="U493">
        <f>Table1[[#This Row],[Face value]]*Table1[[#This Row],[Current coupon %]]/Table1[[#This Row],[Coupon Frequency2]]</f>
        <v>81500</v>
      </c>
      <c r="V493" s="23">
        <f>RATE(Table1[[#This Row],[Total No. of Coupons]],Table1[[#This Row],[Coupon Amount]],-Table1[[#This Row],[Ask Price]],Table1[[#This Row],[Face value]])</f>
        <v>9.0071395519837338E-2</v>
      </c>
      <c r="W493" s="24">
        <f>Table1[[#This Row],[IRR]]*Table1[[#This Row],[Coupon Frequency2]]</f>
        <v>9.0071395519837338E-2</v>
      </c>
      <c r="X493" s="25" cm="1">
        <f t="array" ref="X49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3" s="26">
        <f>DURATION(Table1[[#This Row],[Issue date]],Table1[[#This Row],[Maturity date]],Table1[[#This Row],[Current coupon %]],Table1[[#This Row],[Yield (Annualised)]],Table1[[#This Row],[Coupon Frequency2]])</f>
        <v>7.1213097054148271</v>
      </c>
      <c r="Z493" s="26">
        <f>Table1[[#This Row],[Macaulay Duration in Years]]/(1+Table1[[#This Row],[IRR]])</f>
        <v>6.5328837493426661</v>
      </c>
      <c r="AA493" s="27">
        <f>VLOOKUP(Table1[[#This Row],[Yield Cluster]],'[1]Cluster Details'!$B$3:$C$16,2,0)</f>
        <v>7.8548801574189142E-2</v>
      </c>
      <c r="AB493" s="28">
        <f>PRICE(Table1[[#This Row],[Issue date]],Table1[[#This Row],[Maturity date]],Table1[[#This Row],[Current coupon %]],Table1[[#This Row],[Average Cluster Yield]],100,Table1[[#This Row],[Coupon Frequency2]])*Table1[[#This Row],[Face value]]/100</f>
        <v>1019933.0599086619</v>
      </c>
      <c r="AC493" s="27" t="str">
        <f>IF(Table1[[#This Row],[Ask Price]]&gt;Table1[[#This Row],[Calculated Bond Price]],"Rich","Cheap")</f>
        <v>Cheap</v>
      </c>
      <c r="AD493" s="28">
        <f>PRICE(Table1[[#This Row],[Issue date]],Table1[[#This Row],[Maturity date]],Table1[[#This Row],[Current coupon %]],Table1[[#This Row],[Yield (Annualised)]]+$AE$2,100,Table1[[#This Row],[Coupon Frequency2]])*Table1[[#This Row],[Face value]]/100</f>
        <v>885921.80479544715</v>
      </c>
      <c r="AE493" s="28">
        <f>PRICE(Table1[[#This Row],[Issue date]],Table1[[#This Row],[Maturity date]],Table1[[#This Row],[Current coupon %]],Table1[[#This Row],[Yield (Annualised)]]-$AE$2,100,Table1[[#This Row],[Coupon Frequency2]])*Table1[[#This Row],[Face value]]/100</f>
        <v>1009582.9661404239</v>
      </c>
      <c r="AF493" s="28">
        <f>(Table1[[#This Row],[P (+ shock)]]+Table1[[#This Row],[P (-shock)]]-2*Table1[[#This Row],[Ask Price]])/(2*Table1[[#This Row],[Ask Price]]*($AE$2^2))</f>
        <v>29.030257573584869</v>
      </c>
    </row>
    <row r="494" spans="1:32" x14ac:dyDescent="0.25">
      <c r="A494" s="21" t="s">
        <v>1034</v>
      </c>
      <c r="B494" s="3" t="s">
        <v>1035</v>
      </c>
      <c r="C494" s="3" t="s">
        <v>19</v>
      </c>
      <c r="D494" s="4">
        <v>42460</v>
      </c>
      <c r="E494" s="4">
        <v>46112</v>
      </c>
      <c r="F494" s="3">
        <v>1000000</v>
      </c>
      <c r="G494" s="3" t="s">
        <v>20</v>
      </c>
      <c r="H494" s="3">
        <v>1110000</v>
      </c>
      <c r="I494" s="3" t="s">
        <v>20</v>
      </c>
      <c r="J494" s="3">
        <v>111</v>
      </c>
      <c r="K494" s="3">
        <v>1</v>
      </c>
      <c r="L494" s="5">
        <v>9.5500000000000002E-2</v>
      </c>
      <c r="M494" s="3" t="s">
        <v>21</v>
      </c>
      <c r="N494" s="3">
        <v>195</v>
      </c>
      <c r="O494" s="6">
        <f>Table1[[#This Row],[Current coupon %]]*Table1[[#This Row],[Face value]]/Table1[[#This Row],[Ask Price]]</f>
        <v>8.6036036036036032E-2</v>
      </c>
      <c r="P494" s="3"/>
      <c r="Q494" s="3" t="s">
        <v>22</v>
      </c>
      <c r="R494">
        <f t="shared" si="7"/>
        <v>10</v>
      </c>
      <c r="S494" s="22" cm="1">
        <f t="array" ref="S494">_xlfn.IFS(Table1[[#This Row],[Coupon frequency]]="Semi-annual",2,Table1[[#This Row],[Coupon frequency]]="Quarterly",4,Table1[[#This Row],[Coupon frequency]]="Annual",1,Table1[[#This Row],[Coupon frequency]]="Every 4 months",3,Table1[[#This Row],[Coupon frequency]]="Monthly",12)</f>
        <v>1</v>
      </c>
      <c r="T494">
        <f>Table1[[#This Row],[Term to Maturity (Years)]]*Table1[[#This Row],[Coupon Frequency2]]</f>
        <v>10</v>
      </c>
      <c r="U494">
        <f>Table1[[#This Row],[Face value]]*Table1[[#This Row],[Current coupon %]]/Table1[[#This Row],[Coupon Frequency2]]</f>
        <v>95500</v>
      </c>
      <c r="V494" s="23">
        <f>RATE(Table1[[#This Row],[Total No. of Coupons]],Table1[[#This Row],[Coupon Amount]],-Table1[[#This Row],[Ask Price]],Table1[[#This Row],[Face value]])</f>
        <v>7.9168207309812305E-2</v>
      </c>
      <c r="W494" s="24">
        <f>Table1[[#This Row],[IRR]]*Table1[[#This Row],[Coupon Frequency2]]</f>
        <v>7.9168207309812305E-2</v>
      </c>
      <c r="X494" s="25" cm="1">
        <f t="array" ref="X49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4" s="26">
        <f>DURATION(Table1[[#This Row],[Issue date]],Table1[[#This Row],[Maturity date]],Table1[[#This Row],[Current coupon %]],Table1[[#This Row],[Yield (Annualised)]],Table1[[#This Row],[Coupon Frequency2]])</f>
        <v>7.0316005666119086</v>
      </c>
      <c r="Z494" s="26">
        <f>Table1[[#This Row],[Macaulay Duration in Years]]/(1+Table1[[#This Row],[IRR]])</f>
        <v>6.515759562765961</v>
      </c>
      <c r="AA494" s="27">
        <f>VLOOKUP(Table1[[#This Row],[Yield Cluster]],'[1]Cluster Details'!$B$3:$C$16,2,0)</f>
        <v>7.8548801574189142E-2</v>
      </c>
      <c r="AB494" s="28">
        <f>PRICE(Table1[[#This Row],[Issue date]],Table1[[#This Row],[Maturity date]],Table1[[#This Row],[Current coupon %]],Table1[[#This Row],[Average Cluster Yield]],100,Table1[[#This Row],[Coupon Frequency2]])*Table1[[#This Row],[Face value]]/100</f>
        <v>1114492.2180732235</v>
      </c>
      <c r="AC494" s="27" t="str">
        <f>IF(Table1[[#This Row],[Ask Price]]&gt;Table1[[#This Row],[Calculated Bond Price]],"Rich","Cheap")</f>
        <v>Cheap</v>
      </c>
      <c r="AD494" s="28">
        <f>PRICE(Table1[[#This Row],[Issue date]],Table1[[#This Row],[Maturity date]],Table1[[#This Row],[Current coupon %]],Table1[[#This Row],[Yield (Annualised)]]+$AE$2,100,Table1[[#This Row],[Coupon Frequency2]])*Table1[[#This Row],[Face value]]/100</f>
        <v>1040784.4776796986</v>
      </c>
      <c r="AE494" s="28">
        <f>PRICE(Table1[[#This Row],[Issue date]],Table1[[#This Row],[Maturity date]],Table1[[#This Row],[Current coupon %]],Table1[[#This Row],[Yield (Annualised)]]-$AE$2,100,Table1[[#This Row],[Coupon Frequency2]])*Table1[[#This Row],[Face value]]/100</f>
        <v>1185656.6923193375</v>
      </c>
      <c r="AF494" s="28">
        <f>(Table1[[#This Row],[P (+ shock)]]+Table1[[#This Row],[P (-shock)]]-2*Table1[[#This Row],[Ask Price]])/(2*Table1[[#This Row],[Ask Price]]*($AE$2^2))</f>
        <v>29.014279274936968</v>
      </c>
    </row>
    <row r="495" spans="1:32" x14ac:dyDescent="0.25">
      <c r="A495" s="21" t="s">
        <v>1036</v>
      </c>
      <c r="B495" s="3" t="s">
        <v>1037</v>
      </c>
      <c r="C495" s="3" t="s">
        <v>19</v>
      </c>
      <c r="D495" s="4">
        <v>45050</v>
      </c>
      <c r="E495" s="4">
        <v>46146</v>
      </c>
      <c r="F495" s="3">
        <v>100000</v>
      </c>
      <c r="G495" s="3" t="s">
        <v>20</v>
      </c>
      <c r="H495" s="3">
        <v>101750</v>
      </c>
      <c r="I495" s="3" t="s">
        <v>20</v>
      </c>
      <c r="J495" s="3">
        <v>101.75</v>
      </c>
      <c r="K495" s="3">
        <v>1</v>
      </c>
      <c r="L495" s="5">
        <v>8.7499999999999994E-2</v>
      </c>
      <c r="M495" s="3" t="s">
        <v>21</v>
      </c>
      <c r="N495" s="3">
        <v>229</v>
      </c>
      <c r="O495" s="6">
        <f>Table1[[#This Row],[Current coupon %]]*Table1[[#This Row],[Face value]]/Table1[[#This Row],[Ask Price]]</f>
        <v>8.5995085995085999E-2</v>
      </c>
      <c r="P495" s="3" t="s">
        <v>97</v>
      </c>
      <c r="Q495" s="3" t="s">
        <v>22</v>
      </c>
      <c r="R495">
        <f t="shared" si="7"/>
        <v>3</v>
      </c>
      <c r="S495" s="22" cm="1">
        <f t="array" ref="S495">_xlfn.IFS(Table1[[#This Row],[Coupon frequency]]="Semi-annual",2,Table1[[#This Row],[Coupon frequency]]="Quarterly",4,Table1[[#This Row],[Coupon frequency]]="Annual",1,Table1[[#This Row],[Coupon frequency]]="Every 4 months",3,Table1[[#This Row],[Coupon frequency]]="Monthly",12)</f>
        <v>1</v>
      </c>
      <c r="T495">
        <f>Table1[[#This Row],[Term to Maturity (Years)]]*Table1[[#This Row],[Coupon Frequency2]]</f>
        <v>3</v>
      </c>
      <c r="U495">
        <f>Table1[[#This Row],[Face value]]*Table1[[#This Row],[Current coupon %]]/Table1[[#This Row],[Coupon Frequency2]]</f>
        <v>8750</v>
      </c>
      <c r="V495" s="23">
        <f>RATE(Table1[[#This Row],[Total No. of Coupons]],Table1[[#This Row],[Coupon Amount]],-Table1[[#This Row],[Ask Price]],Table1[[#This Row],[Face value]])</f>
        <v>8.0700824691590123E-2</v>
      </c>
      <c r="W495" s="24">
        <f>Table1[[#This Row],[IRR]]*Table1[[#This Row],[Coupon Frequency2]]</f>
        <v>8.0700824691590123E-2</v>
      </c>
      <c r="X495" s="25" cm="1">
        <f t="array" ref="X49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5" s="26">
        <f>DURATION(Table1[[#This Row],[Issue date]],Table1[[#This Row],[Maturity date]],Table1[[#This Row],[Current coupon %]],Table1[[#This Row],[Yield (Annualised)]],Table1[[#This Row],[Coupon Frequency2]])</f>
        <v>2.767221778937317</v>
      </c>
      <c r="Z495" s="26">
        <f>Table1[[#This Row],[Macaulay Duration in Years]]/(1+Table1[[#This Row],[IRR]])</f>
        <v>2.5605807969351977</v>
      </c>
      <c r="AA495" s="27">
        <f>VLOOKUP(Table1[[#This Row],[Yield Cluster]],'[1]Cluster Details'!$B$3:$C$16,2,0)</f>
        <v>7.8548801574189142E-2</v>
      </c>
      <c r="AB495" s="28">
        <f>PRICE(Table1[[#This Row],[Issue date]],Table1[[#This Row],[Maturity date]],Table1[[#This Row],[Current coupon %]],Table1[[#This Row],[Average Cluster Yield]],100,Table1[[#This Row],[Coupon Frequency2]])*Table1[[#This Row],[Face value]]/100</f>
        <v>102312.86448175355</v>
      </c>
      <c r="AC495" s="27" t="str">
        <f>IF(Table1[[#This Row],[Ask Price]]&gt;Table1[[#This Row],[Calculated Bond Price]],"Rich","Cheap")</f>
        <v>Cheap</v>
      </c>
      <c r="AD495" s="28">
        <f>PRICE(Table1[[#This Row],[Issue date]],Table1[[#This Row],[Maturity date]],Table1[[#This Row],[Current coupon %]],Table1[[#This Row],[Yield (Annualised)]]+$AE$2,100,Table1[[#This Row],[Coupon Frequency2]])*Table1[[#This Row],[Face value]]/100</f>
        <v>99190.787873138528</v>
      </c>
      <c r="AE495" s="28">
        <f>PRICE(Table1[[#This Row],[Issue date]],Table1[[#This Row],[Maturity date]],Table1[[#This Row],[Current coupon %]],Table1[[#This Row],[Yield (Annualised)]]-$AE$2,100,Table1[[#This Row],[Coupon Frequency2]])*Table1[[#This Row],[Face value]]/100</f>
        <v>104402.99565843886</v>
      </c>
      <c r="AF495" s="28">
        <f>(Table1[[#This Row],[P (+ shock)]]+Table1[[#This Row],[P (-shock)]]-2*Table1[[#This Row],[Ask Price]])/(2*Table1[[#This Row],[Ask Price]]*($AE$2^2))</f>
        <v>4.6085273502400277</v>
      </c>
    </row>
    <row r="496" spans="1:32" x14ac:dyDescent="0.25">
      <c r="A496" s="21" t="s">
        <v>1038</v>
      </c>
      <c r="B496" s="3" t="s">
        <v>1039</v>
      </c>
      <c r="C496" s="3" t="s">
        <v>19</v>
      </c>
      <c r="D496" s="4">
        <v>40999</v>
      </c>
      <c r="E496" s="4">
        <v>46477</v>
      </c>
      <c r="F496" s="3">
        <v>5000</v>
      </c>
      <c r="G496" s="3" t="s">
        <v>20</v>
      </c>
      <c r="H496" s="3">
        <v>5071</v>
      </c>
      <c r="I496" s="3" t="s">
        <v>20</v>
      </c>
      <c r="J496" s="3">
        <v>101.42</v>
      </c>
      <c r="K496" s="3">
        <v>8</v>
      </c>
      <c r="L496" s="5">
        <v>8.72E-2</v>
      </c>
      <c r="M496" s="3" t="s">
        <v>21</v>
      </c>
      <c r="N496" s="3">
        <v>560</v>
      </c>
      <c r="O496" s="6">
        <f>Table1[[#This Row],[Current coupon %]]*Table1[[#This Row],[Face value]]/Table1[[#This Row],[Ask Price]]</f>
        <v>8.5979096825083812E-2</v>
      </c>
      <c r="P496" s="3"/>
      <c r="Q496" s="3" t="s">
        <v>22</v>
      </c>
      <c r="R496">
        <f t="shared" si="7"/>
        <v>15</v>
      </c>
      <c r="S496" s="22" cm="1">
        <f t="array" ref="S496">_xlfn.IFS(Table1[[#This Row],[Coupon frequency]]="Semi-annual",2,Table1[[#This Row],[Coupon frequency]]="Quarterly",4,Table1[[#This Row],[Coupon frequency]]="Annual",1,Table1[[#This Row],[Coupon frequency]]="Every 4 months",3,Table1[[#This Row],[Coupon frequency]]="Monthly",12)</f>
        <v>1</v>
      </c>
      <c r="T496">
        <f>Table1[[#This Row],[Term to Maturity (Years)]]*Table1[[#This Row],[Coupon Frequency2]]</f>
        <v>15</v>
      </c>
      <c r="U496">
        <f>Table1[[#This Row],[Face value]]*Table1[[#This Row],[Current coupon %]]/Table1[[#This Row],[Coupon Frequency2]]</f>
        <v>436</v>
      </c>
      <c r="V496" s="23">
        <f>RATE(Table1[[#This Row],[Total No. of Coupons]],Table1[[#This Row],[Coupon Amount]],-Table1[[#This Row],[Ask Price]],Table1[[#This Row],[Face value]])</f>
        <v>8.5485046697595074E-2</v>
      </c>
      <c r="W496" s="24">
        <f>Table1[[#This Row],[IRR]]*Table1[[#This Row],[Coupon Frequency2]]</f>
        <v>8.5485046697595074E-2</v>
      </c>
      <c r="X496" s="25" cm="1">
        <f t="array" ref="X49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6" s="26">
        <f>DURATION(Table1[[#This Row],[Issue date]],Table1[[#This Row],[Maturity date]],Table1[[#This Row],[Current coupon %]],Table1[[#This Row],[Yield (Annualised)]],Table1[[#This Row],[Coupon Frequency2]])</f>
        <v>8.953188349872784</v>
      </c>
      <c r="Z496" s="26">
        <f>Table1[[#This Row],[Macaulay Duration in Years]]/(1+Table1[[#This Row],[IRR]])</f>
        <v>8.2480992042325649</v>
      </c>
      <c r="AA496" s="27">
        <f>VLOOKUP(Table1[[#This Row],[Yield Cluster]],'[1]Cluster Details'!$B$3:$C$16,2,0)</f>
        <v>7.8548801574189142E-2</v>
      </c>
      <c r="AB496" s="28">
        <f>PRICE(Table1[[#This Row],[Issue date]],Table1[[#This Row],[Maturity date]],Table1[[#This Row],[Current coupon %]],Table1[[#This Row],[Average Cluster Yield]],100,Table1[[#This Row],[Coupon Frequency2]])*Table1[[#This Row],[Face value]]/100</f>
        <v>5373.5522251017601</v>
      </c>
      <c r="AC496" s="27" t="str">
        <f>IF(Table1[[#This Row],[Ask Price]]&gt;Table1[[#This Row],[Calculated Bond Price]],"Rich","Cheap")</f>
        <v>Cheap</v>
      </c>
      <c r="AD496" s="28">
        <f>PRICE(Table1[[#This Row],[Issue date]],Table1[[#This Row],[Maturity date]],Table1[[#This Row],[Current coupon %]],Table1[[#This Row],[Yield (Annualised)]]+$AE$2,100,Table1[[#This Row],[Coupon Frequency2]])*Table1[[#This Row],[Face value]]/100</f>
        <v>4676.6270504851936</v>
      </c>
      <c r="AE496" s="28">
        <f>PRICE(Table1[[#This Row],[Issue date]],Table1[[#This Row],[Maturity date]],Table1[[#This Row],[Current coupon %]],Table1[[#This Row],[Yield (Annualised)]]-$AE$2,100,Table1[[#This Row],[Coupon Frequency2]])*Table1[[#This Row],[Face value]]/100</f>
        <v>5515.4926470199107</v>
      </c>
      <c r="AF496" s="28">
        <f>(Table1[[#This Row],[P (+ shock)]]+Table1[[#This Row],[P (-shock)]]-2*Table1[[#This Row],[Ask Price]])/(2*Table1[[#This Row],[Ask Price]]*($AE$2^2))</f>
        <v>49.417962438477957</v>
      </c>
    </row>
    <row r="497" spans="1:32" x14ac:dyDescent="0.25">
      <c r="A497" s="21" t="s">
        <v>1040</v>
      </c>
      <c r="B497" s="3" t="s">
        <v>1041</v>
      </c>
      <c r="C497" s="3" t="s">
        <v>19</v>
      </c>
      <c r="D497" s="4">
        <v>45652</v>
      </c>
      <c r="E497" s="4">
        <v>46382</v>
      </c>
      <c r="F497" s="3">
        <v>1000</v>
      </c>
      <c r="G497" s="3" t="s">
        <v>20</v>
      </c>
      <c r="H497" s="3">
        <v>1030</v>
      </c>
      <c r="I497" s="3" t="s">
        <v>20</v>
      </c>
      <c r="J497" s="3">
        <v>103</v>
      </c>
      <c r="K497" s="3">
        <v>20</v>
      </c>
      <c r="L497" s="5">
        <v>8.8499999999999995E-2</v>
      </c>
      <c r="M497" s="3" t="s">
        <v>21</v>
      </c>
      <c r="N497" s="3">
        <v>465</v>
      </c>
      <c r="O497" s="6">
        <f>Table1[[#This Row],[Current coupon %]]*Table1[[#This Row],[Face value]]/Table1[[#This Row],[Ask Price]]</f>
        <v>8.5922330097087385E-2</v>
      </c>
      <c r="P497" s="3"/>
      <c r="Q497" s="3" t="s">
        <v>22</v>
      </c>
      <c r="R497">
        <f t="shared" si="7"/>
        <v>2</v>
      </c>
      <c r="S497" s="22" cm="1">
        <f t="array" ref="S497">_xlfn.IFS(Table1[[#This Row],[Coupon frequency]]="Semi-annual",2,Table1[[#This Row],[Coupon frequency]]="Quarterly",4,Table1[[#This Row],[Coupon frequency]]="Annual",1,Table1[[#This Row],[Coupon frequency]]="Every 4 months",3,Table1[[#This Row],[Coupon frequency]]="Monthly",12)</f>
        <v>1</v>
      </c>
      <c r="T497">
        <f>Table1[[#This Row],[Term to Maturity (Years)]]*Table1[[#This Row],[Coupon Frequency2]]</f>
        <v>2</v>
      </c>
      <c r="U497">
        <f>Table1[[#This Row],[Face value]]*Table1[[#This Row],[Current coupon %]]/Table1[[#This Row],[Coupon Frequency2]]</f>
        <v>88.5</v>
      </c>
      <c r="V497" s="23">
        <f>RATE(Table1[[#This Row],[Total No. of Coupons]],Table1[[#This Row],[Coupon Amount]],-Table1[[#This Row],[Ask Price]],Table1[[#This Row],[Face value]])</f>
        <v>7.186435690246544E-2</v>
      </c>
      <c r="W497" s="24">
        <f>Table1[[#This Row],[IRR]]*Table1[[#This Row],[Coupon Frequency2]]</f>
        <v>7.186435690246544E-2</v>
      </c>
      <c r="X497" s="25" cm="1">
        <f t="array" ref="X49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7" s="26">
        <f>DURATION(Table1[[#This Row],[Issue date]],Table1[[#This Row],[Maturity date]],Table1[[#This Row],[Current coupon %]],Table1[[#This Row],[Yield (Annualised)]],Table1[[#This Row],[Coupon Frequency2]])</f>
        <v>1.9198384296074635</v>
      </c>
      <c r="Z497" s="26">
        <f>Table1[[#This Row],[Macaulay Duration in Years]]/(1+Table1[[#This Row],[IRR]])</f>
        <v>1.7911206928790147</v>
      </c>
      <c r="AA497" s="27">
        <f>VLOOKUP(Table1[[#This Row],[Yield Cluster]],'[1]Cluster Details'!$B$3:$C$16,2,0)</f>
        <v>7.8548801574189142E-2</v>
      </c>
      <c r="AB497" s="28">
        <f>PRICE(Table1[[#This Row],[Issue date]],Table1[[#This Row],[Maturity date]],Table1[[#This Row],[Current coupon %]],Table1[[#This Row],[Average Cluster Yield]],100,Table1[[#This Row],[Coupon Frequency2]])*Table1[[#This Row],[Face value]]/100</f>
        <v>1017.7809929815918</v>
      </c>
      <c r="AC497" s="27" t="str">
        <f>IF(Table1[[#This Row],[Ask Price]]&gt;Table1[[#This Row],[Calculated Bond Price]],"Rich","Cheap")</f>
        <v>Rich</v>
      </c>
      <c r="AD497" s="28">
        <f>PRICE(Table1[[#This Row],[Issue date]],Table1[[#This Row],[Maturity date]],Table1[[#This Row],[Current coupon %]],Table1[[#This Row],[Yield (Annualised)]]+$AE$2,100,Table1[[#This Row],[Coupon Frequency2]])*Table1[[#This Row],[Face value]]/100</f>
        <v>1011.8029297821931</v>
      </c>
      <c r="AE497" s="28">
        <f>PRICE(Table1[[#This Row],[Issue date]],Table1[[#This Row],[Maturity date]],Table1[[#This Row],[Current coupon %]],Table1[[#This Row],[Yield (Annualised)]]-$AE$2,100,Table1[[#This Row],[Coupon Frequency2]])*Table1[[#This Row],[Face value]]/100</f>
        <v>1048.7063058417825</v>
      </c>
      <c r="AF497" s="28">
        <f>(Table1[[#This Row],[P (+ shock)]]+Table1[[#This Row],[P (-shock)]]-2*Table1[[#This Row],[Ask Price]])/(2*Table1[[#This Row],[Ask Price]]*($AE$2^2))</f>
        <v>2.4720175921148324</v>
      </c>
    </row>
    <row r="498" spans="1:32" x14ac:dyDescent="0.25">
      <c r="A498" s="21" t="s">
        <v>1042</v>
      </c>
      <c r="B498" s="3" t="s">
        <v>1043</v>
      </c>
      <c r="C498" s="3" t="s">
        <v>19</v>
      </c>
      <c r="D498" s="4">
        <v>43372</v>
      </c>
      <c r="E498" s="4">
        <v>47025</v>
      </c>
      <c r="F498" s="3">
        <v>1000</v>
      </c>
      <c r="G498" s="3" t="s">
        <v>20</v>
      </c>
      <c r="H498" s="3">
        <v>1135</v>
      </c>
      <c r="I498" s="3" t="s">
        <v>20</v>
      </c>
      <c r="J498" s="3">
        <v>113.5</v>
      </c>
      <c r="K498" s="3">
        <v>100</v>
      </c>
      <c r="L498" s="5">
        <v>9.7500000000000003E-2</v>
      </c>
      <c r="M498" s="3" t="s">
        <v>21</v>
      </c>
      <c r="N498" s="3">
        <v>1108</v>
      </c>
      <c r="O498" s="6">
        <f>Table1[[#This Row],[Current coupon %]]*Table1[[#This Row],[Face value]]/Table1[[#This Row],[Ask Price]]</f>
        <v>8.590308370044053E-2</v>
      </c>
      <c r="P498" s="3"/>
      <c r="Q498" s="3" t="s">
        <v>22</v>
      </c>
      <c r="R498">
        <f t="shared" si="7"/>
        <v>10</v>
      </c>
      <c r="S498" s="22" cm="1">
        <f t="array" ref="S498">_xlfn.IFS(Table1[[#This Row],[Coupon frequency]]="Semi-annual",2,Table1[[#This Row],[Coupon frequency]]="Quarterly",4,Table1[[#This Row],[Coupon frequency]]="Annual",1,Table1[[#This Row],[Coupon frequency]]="Every 4 months",3,Table1[[#This Row],[Coupon frequency]]="Monthly",12)</f>
        <v>1</v>
      </c>
      <c r="T498">
        <f>Table1[[#This Row],[Term to Maturity (Years)]]*Table1[[#This Row],[Coupon Frequency2]]</f>
        <v>10</v>
      </c>
      <c r="U498">
        <f>Table1[[#This Row],[Face value]]*Table1[[#This Row],[Current coupon %]]/Table1[[#This Row],[Coupon Frequency2]]</f>
        <v>97.5</v>
      </c>
      <c r="V498" s="23">
        <f>RATE(Table1[[#This Row],[Total No. of Coupons]],Table1[[#This Row],[Coupon Amount]],-Table1[[#This Row],[Ask Price]],Table1[[#This Row],[Face value]])</f>
        <v>7.7598412985527332E-2</v>
      </c>
      <c r="W498" s="24">
        <f>Table1[[#This Row],[IRR]]*Table1[[#This Row],[Coupon Frequency2]]</f>
        <v>7.7598412985527332E-2</v>
      </c>
      <c r="X498" s="25" cm="1">
        <f t="array" ref="X49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8" s="26">
        <f>DURATION(Table1[[#This Row],[Issue date]],Table1[[#This Row],[Maturity date]],Table1[[#This Row],[Current coupon %]],Table1[[#This Row],[Yield (Annualised)]],Table1[[#This Row],[Coupon Frequency2]])</f>
        <v>7.0218452788806864</v>
      </c>
      <c r="Z498" s="26">
        <f>Table1[[#This Row],[Macaulay Duration in Years]]/(1+Table1[[#This Row],[IRR]])</f>
        <v>6.5161986081868823</v>
      </c>
      <c r="AA498" s="27">
        <f>VLOOKUP(Table1[[#This Row],[Yield Cluster]],'[1]Cluster Details'!$B$3:$C$16,2,0)</f>
        <v>7.8548801574189142E-2</v>
      </c>
      <c r="AB498" s="28">
        <f>PRICE(Table1[[#This Row],[Issue date]],Table1[[#This Row],[Maturity date]],Table1[[#This Row],[Current coupon %]],Table1[[#This Row],[Average Cluster Yield]],100,Table1[[#This Row],[Coupon Frequency2]])*Table1[[#This Row],[Face value]]/100</f>
        <v>1128.0006692395891</v>
      </c>
      <c r="AC498" s="27" t="str">
        <f>IF(Table1[[#This Row],[Ask Price]]&gt;Table1[[#This Row],[Calculated Bond Price]],"Rich","Cheap")</f>
        <v>Rich</v>
      </c>
      <c r="AD498" s="28">
        <f>PRICE(Table1[[#This Row],[Issue date]],Table1[[#This Row],[Maturity date]],Table1[[#This Row],[Current coupon %]],Table1[[#This Row],[Yield (Annualised)]]+$AE$2,100,Table1[[#This Row],[Coupon Frequency2]])*Table1[[#This Row],[Face value]]/100</f>
        <v>1064.2222771198569</v>
      </c>
      <c r="AE498" s="28">
        <f>PRICE(Table1[[#This Row],[Issue date]],Table1[[#This Row],[Maturity date]],Table1[[#This Row],[Current coupon %]],Table1[[#This Row],[Yield (Annualised)]]-$AE$2,100,Table1[[#This Row],[Coupon Frequency2]])*Table1[[#This Row],[Face value]]/100</f>
        <v>1212.3676570213595</v>
      </c>
      <c r="AF498" s="28">
        <f>(Table1[[#This Row],[P (+ shock)]]+Table1[[#This Row],[P (-shock)]]-2*Table1[[#This Row],[Ask Price]])/(2*Table1[[#This Row],[Ask Price]]*($AE$2^2))</f>
        <v>29.030546877605364</v>
      </c>
    </row>
    <row r="499" spans="1:32" x14ac:dyDescent="0.25">
      <c r="A499" s="21" t="s">
        <v>1044</v>
      </c>
      <c r="B499" s="3" t="s">
        <v>1045</v>
      </c>
      <c r="C499" s="3" t="s">
        <v>19</v>
      </c>
      <c r="D499" s="4">
        <v>43494</v>
      </c>
      <c r="E499" s="4">
        <v>47147</v>
      </c>
      <c r="F499" s="3">
        <v>1000000</v>
      </c>
      <c r="G499" s="3" t="s">
        <v>20</v>
      </c>
      <c r="H499" s="3">
        <v>1111759</v>
      </c>
      <c r="I499" s="3" t="s">
        <v>20</v>
      </c>
      <c r="J499" s="3">
        <v>111.1759</v>
      </c>
      <c r="K499" s="3">
        <v>150</v>
      </c>
      <c r="L499" s="5">
        <v>9.5500000000000002E-2</v>
      </c>
      <c r="M499" s="3" t="s">
        <v>21</v>
      </c>
      <c r="N499" s="3">
        <v>1230</v>
      </c>
      <c r="O499" s="6">
        <f>Table1[[#This Row],[Current coupon %]]*Table1[[#This Row],[Face value]]/Table1[[#This Row],[Ask Price]]</f>
        <v>8.5899911761451897E-2</v>
      </c>
      <c r="P499" s="3"/>
      <c r="Q499" s="3" t="s">
        <v>22</v>
      </c>
      <c r="R499">
        <f t="shared" si="7"/>
        <v>10</v>
      </c>
      <c r="S499" s="22" cm="1">
        <f t="array" ref="S499">_xlfn.IFS(Table1[[#This Row],[Coupon frequency]]="Semi-annual",2,Table1[[#This Row],[Coupon frequency]]="Quarterly",4,Table1[[#This Row],[Coupon frequency]]="Annual",1,Table1[[#This Row],[Coupon frequency]]="Every 4 months",3,Table1[[#This Row],[Coupon frequency]]="Monthly",12)</f>
        <v>1</v>
      </c>
      <c r="T499">
        <f>Table1[[#This Row],[Term to Maturity (Years)]]*Table1[[#This Row],[Coupon Frequency2]]</f>
        <v>10</v>
      </c>
      <c r="U499">
        <f>Table1[[#This Row],[Face value]]*Table1[[#This Row],[Current coupon %]]/Table1[[#This Row],[Coupon Frequency2]]</f>
        <v>95500</v>
      </c>
      <c r="V499" s="23">
        <f>RATE(Table1[[#This Row],[Total No. of Coupons]],Table1[[#This Row],[Coupon Amount]],-Table1[[#This Row],[Ask Price]],Table1[[#This Row],[Face value]])</f>
        <v>7.8925262117204242E-2</v>
      </c>
      <c r="W499" s="24">
        <f>Table1[[#This Row],[IRR]]*Table1[[#This Row],[Coupon Frequency2]]</f>
        <v>7.8925262117204242E-2</v>
      </c>
      <c r="X499" s="25" cm="1">
        <f t="array" ref="X49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499" s="26">
        <f>DURATION(Table1[[#This Row],[Issue date]],Table1[[#This Row],[Maturity date]],Table1[[#This Row],[Current coupon %]],Table1[[#This Row],[Yield (Annualised)]],Table1[[#This Row],[Coupon Frequency2]])</f>
        <v>7.0340852115370742</v>
      </c>
      <c r="Z499" s="26">
        <f>Table1[[#This Row],[Macaulay Duration in Years]]/(1+Table1[[#This Row],[IRR]])</f>
        <v>6.5195296268565421</v>
      </c>
      <c r="AA499" s="27">
        <f>VLOOKUP(Table1[[#This Row],[Yield Cluster]],'[1]Cluster Details'!$B$3:$C$16,2,0)</f>
        <v>7.8548801574189142E-2</v>
      </c>
      <c r="AB499" s="28">
        <f>PRICE(Table1[[#This Row],[Issue date]],Table1[[#This Row],[Maturity date]],Table1[[#This Row],[Current coupon %]],Table1[[#This Row],[Average Cluster Yield]],100,Table1[[#This Row],[Coupon Frequency2]])*Table1[[#This Row],[Face value]]/100</f>
        <v>1114492.2180732235</v>
      </c>
      <c r="AC499" s="27" t="str">
        <f>IF(Table1[[#This Row],[Ask Price]]&gt;Table1[[#This Row],[Calculated Bond Price]],"Rich","Cheap")</f>
        <v>Cheap</v>
      </c>
      <c r="AD499" s="28">
        <f>PRICE(Table1[[#This Row],[Issue date]],Table1[[#This Row],[Maturity date]],Table1[[#This Row],[Current coupon %]],Table1[[#This Row],[Yield (Annualised)]]+$AE$2,100,Table1[[#This Row],[Coupon Frequency2]])*Table1[[#This Row],[Face value]]/100</f>
        <v>1042394.7575176999</v>
      </c>
      <c r="AE499" s="28">
        <f>PRICE(Table1[[#This Row],[Issue date]],Table1[[#This Row],[Maturity date]],Table1[[#This Row],[Current coupon %]],Table1[[#This Row],[Yield (Annualised)]]-$AE$2,100,Table1[[#This Row],[Coupon Frequency2]])*Table1[[#This Row],[Face value]]/100</f>
        <v>1187580.6489194755</v>
      </c>
      <c r="AF499" s="28">
        <f>(Table1[[#This Row],[P (+ shock)]]+Table1[[#This Row],[P (-shock)]]-2*Table1[[#This Row],[Ask Price]])/(2*Table1[[#This Row],[Ask Price]]*($AE$2^2))</f>
        <v>29.04139492990544</v>
      </c>
    </row>
    <row r="500" spans="1:32" x14ac:dyDescent="0.25">
      <c r="A500" s="21" t="s">
        <v>1046</v>
      </c>
      <c r="B500" s="3" t="s">
        <v>1047</v>
      </c>
      <c r="C500" s="3" t="s">
        <v>19</v>
      </c>
      <c r="D500" s="4">
        <v>43570</v>
      </c>
      <c r="E500" s="4">
        <v>46492</v>
      </c>
      <c r="F500" s="3">
        <v>1000</v>
      </c>
      <c r="G500" s="3" t="s">
        <v>20</v>
      </c>
      <c r="H500" s="3">
        <v>1054</v>
      </c>
      <c r="I500" s="3" t="s">
        <v>20</v>
      </c>
      <c r="J500" s="3">
        <v>105.4</v>
      </c>
      <c r="K500" s="3">
        <v>50</v>
      </c>
      <c r="L500" s="5">
        <v>9.0500000000000011E-2</v>
      </c>
      <c r="M500" s="3" t="s">
        <v>21</v>
      </c>
      <c r="N500" s="3">
        <v>575</v>
      </c>
      <c r="O500" s="6">
        <f>Table1[[#This Row],[Current coupon %]]*Table1[[#This Row],[Face value]]/Table1[[#This Row],[Ask Price]]</f>
        <v>8.5863377609108171E-2</v>
      </c>
      <c r="P500" s="3" t="s">
        <v>297</v>
      </c>
      <c r="Q500" s="3" t="s">
        <v>22</v>
      </c>
      <c r="R500">
        <f t="shared" si="7"/>
        <v>8</v>
      </c>
      <c r="S500" s="22" cm="1">
        <f t="array" ref="S500">_xlfn.IFS(Table1[[#This Row],[Coupon frequency]]="Semi-annual",2,Table1[[#This Row],[Coupon frequency]]="Quarterly",4,Table1[[#This Row],[Coupon frequency]]="Annual",1,Table1[[#This Row],[Coupon frequency]]="Every 4 months",3,Table1[[#This Row],[Coupon frequency]]="Monthly",12)</f>
        <v>1</v>
      </c>
      <c r="T500">
        <f>Table1[[#This Row],[Term to Maturity (Years)]]*Table1[[#This Row],[Coupon Frequency2]]</f>
        <v>8</v>
      </c>
      <c r="U500">
        <f>Table1[[#This Row],[Face value]]*Table1[[#This Row],[Current coupon %]]/Table1[[#This Row],[Coupon Frequency2]]</f>
        <v>90.500000000000014</v>
      </c>
      <c r="V500" s="23">
        <f>RATE(Table1[[#This Row],[Total No. of Coupons]],Table1[[#This Row],[Coupon Amount]],-Table1[[#This Row],[Ask Price]],Table1[[#This Row],[Face value]])</f>
        <v>8.1065183805138302E-2</v>
      </c>
      <c r="W500" s="24">
        <f>Table1[[#This Row],[IRR]]*Table1[[#This Row],[Coupon Frequency2]]</f>
        <v>8.1065183805138302E-2</v>
      </c>
      <c r="X500" s="25" cm="1">
        <f t="array" ref="X50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0" s="26">
        <f>DURATION(Table1[[#This Row],[Issue date]],Table1[[#This Row],[Maturity date]],Table1[[#This Row],[Current coupon %]],Table1[[#This Row],[Yield (Annualised)]],Table1[[#This Row],[Coupon Frequency2]])</f>
        <v>6.0801738435321431</v>
      </c>
      <c r="Z500" s="26">
        <f>Table1[[#This Row],[Macaulay Duration in Years]]/(1+Table1[[#This Row],[IRR]])</f>
        <v>5.6242435096569459</v>
      </c>
      <c r="AA500" s="27">
        <f>VLOOKUP(Table1[[#This Row],[Yield Cluster]],'[1]Cluster Details'!$B$3:$C$16,2,0)</f>
        <v>7.8548801574189142E-2</v>
      </c>
      <c r="AB500" s="28">
        <f>PRICE(Table1[[#This Row],[Issue date]],Table1[[#This Row],[Maturity date]],Table1[[#This Row],[Current coupon %]],Table1[[#This Row],[Average Cluster Yield]],100,Table1[[#This Row],[Coupon Frequency2]])*Table1[[#This Row],[Face value]]/100</f>
        <v>1069.0590729819223</v>
      </c>
      <c r="AC500" s="27" t="str">
        <f>IF(Table1[[#This Row],[Ask Price]]&gt;Table1[[#This Row],[Calculated Bond Price]],"Rich","Cheap")</f>
        <v>Cheap</v>
      </c>
      <c r="AD500" s="28">
        <f>PRICE(Table1[[#This Row],[Issue date]],Table1[[#This Row],[Maturity date]],Table1[[#This Row],[Current coupon %]],Table1[[#This Row],[Yield (Annualised)]]+$AE$2,100,Table1[[#This Row],[Coupon Frequency2]])*Table1[[#This Row],[Face value]]/100</f>
        <v>996.88415604441388</v>
      </c>
      <c r="AE500" s="28">
        <f>PRICE(Table1[[#This Row],[Issue date]],Table1[[#This Row],[Maturity date]],Table1[[#This Row],[Current coupon %]],Table1[[#This Row],[Yield (Annualised)]]-$AE$2,100,Table1[[#This Row],[Coupon Frequency2]])*Table1[[#This Row],[Face value]]/100</f>
        <v>1115.5735648107466</v>
      </c>
      <c r="AF500" s="28">
        <f>(Table1[[#This Row],[P (+ shock)]]+Table1[[#This Row],[P (-shock)]]-2*Table1[[#This Row],[Ask Price]])/(2*Table1[[#This Row],[Ask Price]]*($AE$2^2))</f>
        <v>21.14668337362647</v>
      </c>
    </row>
    <row r="501" spans="1:32" x14ac:dyDescent="0.25">
      <c r="A501" s="21" t="s">
        <v>1048</v>
      </c>
      <c r="B501" s="3" t="s">
        <v>1049</v>
      </c>
      <c r="C501" s="3" t="s">
        <v>19</v>
      </c>
      <c r="D501" s="4">
        <v>43552</v>
      </c>
      <c r="E501" s="4">
        <v>47205</v>
      </c>
      <c r="F501" s="3">
        <v>1000000</v>
      </c>
      <c r="G501" s="3" t="s">
        <v>20</v>
      </c>
      <c r="H501" s="3">
        <v>1045000</v>
      </c>
      <c r="I501" s="3" t="s">
        <v>20</v>
      </c>
      <c r="J501" s="3">
        <v>104.5</v>
      </c>
      <c r="K501" s="3">
        <v>1</v>
      </c>
      <c r="L501" s="5">
        <v>8.9700000000000002E-2</v>
      </c>
      <c r="M501" s="3" t="s">
        <v>21</v>
      </c>
      <c r="N501" s="3">
        <v>1288</v>
      </c>
      <c r="O501" s="6">
        <f>Table1[[#This Row],[Current coupon %]]*Table1[[#This Row],[Face value]]/Table1[[#This Row],[Ask Price]]</f>
        <v>8.5837320574162684E-2</v>
      </c>
      <c r="P501" s="3"/>
      <c r="Q501" s="3" t="s">
        <v>22</v>
      </c>
      <c r="R501">
        <f t="shared" si="7"/>
        <v>10</v>
      </c>
      <c r="S501" s="22" cm="1">
        <f t="array" ref="S501">_xlfn.IFS(Table1[[#This Row],[Coupon frequency]]="Semi-annual",2,Table1[[#This Row],[Coupon frequency]]="Quarterly",4,Table1[[#This Row],[Coupon frequency]]="Annual",1,Table1[[#This Row],[Coupon frequency]]="Every 4 months",3,Table1[[#This Row],[Coupon frequency]]="Monthly",12)</f>
        <v>1</v>
      </c>
      <c r="T501">
        <f>Table1[[#This Row],[Term to Maturity (Years)]]*Table1[[#This Row],[Coupon Frequency2]]</f>
        <v>10</v>
      </c>
      <c r="U501">
        <f>Table1[[#This Row],[Face value]]*Table1[[#This Row],[Current coupon %]]/Table1[[#This Row],[Coupon Frequency2]]</f>
        <v>89700</v>
      </c>
      <c r="V501" s="23">
        <f>RATE(Table1[[#This Row],[Total No. of Coupons]],Table1[[#This Row],[Coupon Amount]],-Table1[[#This Row],[Ask Price]],Table1[[#This Row],[Face value]])</f>
        <v>8.2905522073600552E-2</v>
      </c>
      <c r="W501" s="24">
        <f>Table1[[#This Row],[IRR]]*Table1[[#This Row],[Coupon Frequency2]]</f>
        <v>8.2905522073600552E-2</v>
      </c>
      <c r="X501" s="25" cm="1">
        <f t="array" ref="X50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1" s="26">
        <f>DURATION(Table1[[#This Row],[Issue date]],Table1[[#This Row],[Maturity date]],Table1[[#This Row],[Current coupon %]],Table1[[#This Row],[Yield (Annualised)]],Table1[[#This Row],[Coupon Frequency2]])</f>
        <v>7.072107791763738</v>
      </c>
      <c r="Z501" s="26">
        <f>Table1[[#This Row],[Macaulay Duration in Years]]/(1+Table1[[#This Row],[IRR]])</f>
        <v>6.5306784826636761</v>
      </c>
      <c r="AA501" s="27">
        <f>VLOOKUP(Table1[[#This Row],[Yield Cluster]],'[1]Cluster Details'!$B$3:$C$16,2,0)</f>
        <v>7.8548801574189142E-2</v>
      </c>
      <c r="AB501" s="28">
        <f>PRICE(Table1[[#This Row],[Issue date]],Table1[[#This Row],[Maturity date]],Table1[[#This Row],[Current coupon %]],Table1[[#This Row],[Average Cluster Yield]],100,Table1[[#This Row],[Coupon Frequency2]])*Table1[[#This Row],[Face value]]/100</f>
        <v>1075317.7096907622</v>
      </c>
      <c r="AC501" s="27" t="str">
        <f>IF(Table1[[#This Row],[Ask Price]]&gt;Table1[[#This Row],[Calculated Bond Price]],"Rich","Cheap")</f>
        <v>Cheap</v>
      </c>
      <c r="AD501" s="28">
        <f>PRICE(Table1[[#This Row],[Issue date]],Table1[[#This Row],[Maturity date]],Table1[[#This Row],[Current coupon %]],Table1[[#This Row],[Yield (Annualised)]]+$AE$2,100,Table1[[#This Row],[Coupon Frequency2]])*Table1[[#This Row],[Face value]]/100</f>
        <v>979688.55887766881</v>
      </c>
      <c r="AE501" s="28">
        <f>PRICE(Table1[[#This Row],[Issue date]],Table1[[#This Row],[Maturity date]],Table1[[#This Row],[Current coupon %]],Table1[[#This Row],[Yield (Annualised)]]-$AE$2,100,Table1[[#This Row],[Coupon Frequency2]])*Table1[[#This Row],[Face value]]/100</f>
        <v>1116389.2853244012</v>
      </c>
      <c r="AF501" s="28">
        <f>(Table1[[#This Row],[P (+ shock)]]+Table1[[#This Row],[P (-shock)]]-2*Table1[[#This Row],[Ask Price]])/(2*Table1[[#This Row],[Ask Price]]*($AE$2^2))</f>
        <v>29.080594268277661</v>
      </c>
    </row>
    <row r="502" spans="1:32" x14ac:dyDescent="0.25">
      <c r="A502" s="21" t="s">
        <v>1050</v>
      </c>
      <c r="B502" s="3" t="s">
        <v>1051</v>
      </c>
      <c r="C502" s="3" t="s">
        <v>19</v>
      </c>
      <c r="D502" s="4">
        <v>45421</v>
      </c>
      <c r="E502" s="4">
        <v>46151</v>
      </c>
      <c r="F502" s="3">
        <v>1000</v>
      </c>
      <c r="G502" s="3" t="s">
        <v>20</v>
      </c>
      <c r="H502" s="3">
        <v>1031.8</v>
      </c>
      <c r="I502" s="3" t="s">
        <v>20</v>
      </c>
      <c r="J502" s="3">
        <v>103.18</v>
      </c>
      <c r="K502" s="3">
        <v>8</v>
      </c>
      <c r="L502" s="5">
        <v>8.8499999999999995E-2</v>
      </c>
      <c r="M502" s="3" t="s">
        <v>21</v>
      </c>
      <c r="N502" s="3">
        <v>234</v>
      </c>
      <c r="O502" s="6">
        <f>Table1[[#This Row],[Current coupon %]]*Table1[[#This Row],[Face value]]/Table1[[#This Row],[Ask Price]]</f>
        <v>8.5772436518705183E-2</v>
      </c>
      <c r="P502" s="3"/>
      <c r="Q502" s="3" t="s">
        <v>22</v>
      </c>
      <c r="R502">
        <f t="shared" si="7"/>
        <v>2</v>
      </c>
      <c r="S502" s="22" cm="1">
        <f t="array" ref="S502">_xlfn.IFS(Table1[[#This Row],[Coupon frequency]]="Semi-annual",2,Table1[[#This Row],[Coupon frequency]]="Quarterly",4,Table1[[#This Row],[Coupon frequency]]="Annual",1,Table1[[#This Row],[Coupon frequency]]="Every 4 months",3,Table1[[#This Row],[Coupon frequency]]="Monthly",12)</f>
        <v>1</v>
      </c>
      <c r="T502">
        <f>Table1[[#This Row],[Term to Maturity (Years)]]*Table1[[#This Row],[Coupon Frequency2]]</f>
        <v>2</v>
      </c>
      <c r="U502">
        <f>Table1[[#This Row],[Face value]]*Table1[[#This Row],[Current coupon %]]/Table1[[#This Row],[Coupon Frequency2]]</f>
        <v>88.5</v>
      </c>
      <c r="V502" s="23">
        <f>RATE(Table1[[#This Row],[Total No. of Coupons]],Table1[[#This Row],[Coupon Amount]],-Table1[[#This Row],[Ask Price]],Table1[[#This Row],[Face value]])</f>
        <v>7.0889981819091133E-2</v>
      </c>
      <c r="W502" s="24">
        <f>Table1[[#This Row],[IRR]]*Table1[[#This Row],[Coupon Frequency2]]</f>
        <v>7.0889981819091133E-2</v>
      </c>
      <c r="X502" s="25" cm="1">
        <f t="array" ref="X50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2" s="26">
        <f>DURATION(Table1[[#This Row],[Issue date]],Table1[[#This Row],[Maturity date]],Table1[[#This Row],[Current coupon %]],Table1[[#This Row],[Yield (Annualised)]],Table1[[#This Row],[Coupon Frequency2]])</f>
        <v>1.919905463703184</v>
      </c>
      <c r="Z502" s="26">
        <f>Table1[[#This Row],[Macaulay Duration in Years]]/(1+Table1[[#This Row],[IRR]])</f>
        <v>1.7928129838715028</v>
      </c>
      <c r="AA502" s="27">
        <f>VLOOKUP(Table1[[#This Row],[Yield Cluster]],'[1]Cluster Details'!$B$3:$C$16,2,0)</f>
        <v>7.8548801574189142E-2</v>
      </c>
      <c r="AB502" s="28">
        <f>PRICE(Table1[[#This Row],[Issue date]],Table1[[#This Row],[Maturity date]],Table1[[#This Row],[Current coupon %]],Table1[[#This Row],[Average Cluster Yield]],100,Table1[[#This Row],[Coupon Frequency2]])*Table1[[#This Row],[Face value]]/100</f>
        <v>1017.7809929815918</v>
      </c>
      <c r="AC502" s="27" t="str">
        <f>IF(Table1[[#This Row],[Ask Price]]&gt;Table1[[#This Row],[Calculated Bond Price]],"Rich","Cheap")</f>
        <v>Rich</v>
      </c>
      <c r="AD502" s="28">
        <f>PRICE(Table1[[#This Row],[Issue date]],Table1[[#This Row],[Maturity date]],Table1[[#This Row],[Current coupon %]],Table1[[#This Row],[Yield (Annualised)]]+$AE$2,100,Table1[[#This Row],[Coupon Frequency2]])*Table1[[#This Row],[Face value]]/100</f>
        <v>1013.5541357339408</v>
      </c>
      <c r="AE502" s="28">
        <f>PRICE(Table1[[#This Row],[Issue date]],Table1[[#This Row],[Maturity date]],Table1[[#This Row],[Current coupon %]],Table1[[#This Row],[Yield (Annualised)]]-$AE$2,100,Table1[[#This Row],[Coupon Frequency2]])*Table1[[#This Row],[Face value]]/100</f>
        <v>1050.5569428011083</v>
      </c>
      <c r="AF502" s="28">
        <f>(Table1[[#This Row],[P (+ shock)]]+Table1[[#This Row],[P (-shock)]]-2*Table1[[#This Row],[Ask Price]])/(2*Table1[[#This Row],[Ask Price]]*($AE$2^2))</f>
        <v>2.4766356612200249</v>
      </c>
    </row>
    <row r="503" spans="1:32" x14ac:dyDescent="0.25">
      <c r="A503" s="21" t="s">
        <v>1052</v>
      </c>
      <c r="B503" s="3" t="s">
        <v>1053</v>
      </c>
      <c r="C503" s="3" t="s">
        <v>19</v>
      </c>
      <c r="D503" s="4">
        <v>45009</v>
      </c>
      <c r="E503" s="4">
        <v>48662</v>
      </c>
      <c r="F503" s="3">
        <v>100000</v>
      </c>
      <c r="G503" s="3" t="s">
        <v>20</v>
      </c>
      <c r="H503" s="3">
        <v>104081.11</v>
      </c>
      <c r="I503" s="3" t="s">
        <v>20</v>
      </c>
      <c r="J503" s="3">
        <v>104.08111</v>
      </c>
      <c r="K503" s="3">
        <v>3</v>
      </c>
      <c r="L503" s="5">
        <v>8.900000000000001E-2</v>
      </c>
      <c r="M503" s="3" t="s">
        <v>44</v>
      </c>
      <c r="N503" s="3">
        <v>2745</v>
      </c>
      <c r="O503" s="6">
        <f>Table1[[#This Row],[Current coupon %]]*Table1[[#This Row],[Face value]]/Table1[[#This Row],[Ask Price]]</f>
        <v>8.5510233317073595E-2</v>
      </c>
      <c r="P503" s="3"/>
      <c r="Q503" s="3" t="s">
        <v>22</v>
      </c>
      <c r="R503">
        <f t="shared" si="7"/>
        <v>10</v>
      </c>
      <c r="S503" s="22" cm="1">
        <f t="array" ref="S503">_xlfn.IFS(Table1[[#This Row],[Coupon frequency]]="Semi-annual",2,Table1[[#This Row],[Coupon frequency]]="Quarterly",4,Table1[[#This Row],[Coupon frequency]]="Annual",1,Table1[[#This Row],[Coupon frequency]]="Every 4 months",3,Table1[[#This Row],[Coupon frequency]]="Monthly",12)</f>
        <v>4</v>
      </c>
      <c r="T503">
        <f>Table1[[#This Row],[Term to Maturity (Years)]]*Table1[[#This Row],[Coupon Frequency2]]</f>
        <v>40</v>
      </c>
      <c r="U503">
        <f>Table1[[#This Row],[Face value]]*Table1[[#This Row],[Current coupon %]]/Table1[[#This Row],[Coupon Frequency2]]</f>
        <v>2225.0000000000005</v>
      </c>
      <c r="V503" s="23">
        <f>RATE(Table1[[#This Row],[Total No. of Coupons]],Table1[[#This Row],[Coupon Amount]],-Table1[[#This Row],[Ask Price]],Table1[[#This Row],[Face value]])</f>
        <v>2.0738724043009218E-2</v>
      </c>
      <c r="W503" s="24">
        <f>Table1[[#This Row],[IRR]]*Table1[[#This Row],[Coupon Frequency2]]</f>
        <v>8.2954896172036871E-2</v>
      </c>
      <c r="X503" s="25" cm="1">
        <f t="array" ref="X50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3" s="26">
        <f>DURATION(Table1[[#This Row],[Issue date]],Table1[[#This Row],[Maturity date]],Table1[[#This Row],[Current coupon %]],Table1[[#This Row],[Yield (Annualised)]],Table1[[#This Row],[Coupon Frequency2]])</f>
        <v>6.7953430540873239</v>
      </c>
      <c r="Z503" s="26">
        <f>Table1[[#This Row],[Macaulay Duration in Years]]/(1+Table1[[#This Row],[IRR]])</f>
        <v>6.6572795702037064</v>
      </c>
      <c r="AA503" s="27">
        <f>VLOOKUP(Table1[[#This Row],[Yield Cluster]],'[1]Cluster Details'!$B$3:$C$16,2,0)</f>
        <v>7.8548801574189142E-2</v>
      </c>
      <c r="AB503" s="28">
        <f>PRICE(Table1[[#This Row],[Issue date]],Table1[[#This Row],[Maturity date]],Table1[[#This Row],[Current coupon %]],Table1[[#This Row],[Average Cluster Yield]],100,Table1[[#This Row],[Coupon Frequency2]])*Table1[[#This Row],[Face value]]/100</f>
        <v>107193.12740697425</v>
      </c>
      <c r="AC503" s="27" t="str">
        <f>IF(Table1[[#This Row],[Ask Price]]&gt;Table1[[#This Row],[Calculated Bond Price]],"Rich","Cheap")</f>
        <v>Cheap</v>
      </c>
      <c r="AD503" s="28">
        <f>PRICE(Table1[[#This Row],[Issue date]],Table1[[#This Row],[Maturity date]],Table1[[#This Row],[Current coupon %]],Table1[[#This Row],[Yield (Annualised)]]+$AE$2,100,Table1[[#This Row],[Coupon Frequency2]])*Table1[[#This Row],[Face value]]/100</f>
        <v>97442.759709455611</v>
      </c>
      <c r="AE503" s="28">
        <f>PRICE(Table1[[#This Row],[Issue date]],Table1[[#This Row],[Maturity date]],Table1[[#This Row],[Current coupon %]],Table1[[#This Row],[Yield (Annualised)]]-$AE$2,100,Table1[[#This Row],[Coupon Frequency2]])*Table1[[#This Row],[Face value]]/100</f>
        <v>111319.76025142919</v>
      </c>
      <c r="AF503" s="28">
        <f>(Table1[[#This Row],[P (+ shock)]]+Table1[[#This Row],[P (-shock)]]-2*Table1[[#This Row],[Ask Price]])/(2*Table1[[#This Row],[Ask Price]]*($AE$2^2))</f>
        <v>28.838084109826394</v>
      </c>
    </row>
    <row r="504" spans="1:32" x14ac:dyDescent="0.25">
      <c r="A504" s="21" t="s">
        <v>1054</v>
      </c>
      <c r="B504" s="3" t="s">
        <v>1055</v>
      </c>
      <c r="C504" s="3" t="s">
        <v>19</v>
      </c>
      <c r="D504" s="4">
        <v>43703</v>
      </c>
      <c r="E504" s="4">
        <v>47356</v>
      </c>
      <c r="F504" s="3">
        <v>1000</v>
      </c>
      <c r="G504" s="3" t="s">
        <v>20</v>
      </c>
      <c r="H504" s="3">
        <v>1035.0999999999999</v>
      </c>
      <c r="I504" s="3" t="s">
        <v>20</v>
      </c>
      <c r="J504" s="3">
        <v>103.509999999999</v>
      </c>
      <c r="K504" s="3">
        <v>10</v>
      </c>
      <c r="L504" s="5">
        <v>8.8499999999999995E-2</v>
      </c>
      <c r="M504" s="3" t="s">
        <v>21</v>
      </c>
      <c r="N504" s="3">
        <v>1439</v>
      </c>
      <c r="O504" s="6">
        <f>Table1[[#This Row],[Current coupon %]]*Table1[[#This Row],[Face value]]/Table1[[#This Row],[Ask Price]]</f>
        <v>8.549898560525554E-2</v>
      </c>
      <c r="P504" s="3"/>
      <c r="Q504" s="3" t="s">
        <v>22</v>
      </c>
      <c r="R504">
        <f t="shared" si="7"/>
        <v>10</v>
      </c>
      <c r="S504" s="22" cm="1">
        <f t="array" ref="S504">_xlfn.IFS(Table1[[#This Row],[Coupon frequency]]="Semi-annual",2,Table1[[#This Row],[Coupon frequency]]="Quarterly",4,Table1[[#This Row],[Coupon frequency]]="Annual",1,Table1[[#This Row],[Coupon frequency]]="Every 4 months",3,Table1[[#This Row],[Coupon frequency]]="Monthly",12)</f>
        <v>1</v>
      </c>
      <c r="T504">
        <f>Table1[[#This Row],[Term to Maturity (Years)]]*Table1[[#This Row],[Coupon Frequency2]]</f>
        <v>10</v>
      </c>
      <c r="U504">
        <f>Table1[[#This Row],[Face value]]*Table1[[#This Row],[Current coupon %]]/Table1[[#This Row],[Coupon Frequency2]]</f>
        <v>88.5</v>
      </c>
      <c r="V504" s="23">
        <f>RATE(Table1[[#This Row],[Total No. of Coupons]],Table1[[#This Row],[Coupon Amount]],-Table1[[#This Row],[Ask Price]],Table1[[#This Row],[Face value]])</f>
        <v>8.3193470810561249E-2</v>
      </c>
      <c r="W504" s="24">
        <f>Table1[[#This Row],[IRR]]*Table1[[#This Row],[Coupon Frequency2]]</f>
        <v>8.3193470810561249E-2</v>
      </c>
      <c r="X504" s="25" cm="1">
        <f t="array" ref="X50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4" s="26">
        <f>DURATION(Table1[[#This Row],[Issue date]],Table1[[#This Row],[Maturity date]],Table1[[#This Row],[Current coupon %]],Table1[[#This Row],[Yield (Annualised)]],Table1[[#This Row],[Coupon Frequency2]])</f>
        <v>7.0862039014263836</v>
      </c>
      <c r="Z504" s="26">
        <f>Table1[[#This Row],[Macaulay Duration in Years]]/(1+Table1[[#This Row],[IRR]])</f>
        <v>6.5419558854280462</v>
      </c>
      <c r="AA504" s="27">
        <f>VLOOKUP(Table1[[#This Row],[Yield Cluster]],'[1]Cluster Details'!$B$3:$C$16,2,0)</f>
        <v>7.8548801574189142E-2</v>
      </c>
      <c r="AB504" s="28">
        <f>PRICE(Table1[[#This Row],[Issue date]],Table1[[#This Row],[Maturity date]],Table1[[#This Row],[Current coupon %]],Table1[[#This Row],[Average Cluster Yield]],100,Table1[[#This Row],[Coupon Frequency2]])*Table1[[#This Row],[Face value]]/100</f>
        <v>1067.2126389909424</v>
      </c>
      <c r="AC504" s="27" t="str">
        <f>IF(Table1[[#This Row],[Ask Price]]&gt;Table1[[#This Row],[Calculated Bond Price]],"Rich","Cheap")</f>
        <v>Cheap</v>
      </c>
      <c r="AD504" s="28">
        <f>PRICE(Table1[[#This Row],[Issue date]],Table1[[#This Row],[Maturity date]],Table1[[#This Row],[Current coupon %]],Table1[[#This Row],[Yield (Annualised)]]+$AE$2,100,Table1[[#This Row],[Coupon Frequency2]])*Table1[[#This Row],[Face value]]/100</f>
        <v>970.29772474823824</v>
      </c>
      <c r="AE504" s="28">
        <f>PRICE(Table1[[#This Row],[Issue date]],Table1[[#This Row],[Maturity date]],Table1[[#This Row],[Current coupon %]],Table1[[#This Row],[Yield (Annualised)]]-$AE$2,100,Table1[[#This Row],[Coupon Frequency2]])*Table1[[#This Row],[Face value]]/100</f>
        <v>1105.9374384950659</v>
      </c>
      <c r="AF504" s="28">
        <f>(Table1[[#This Row],[P (+ shock)]]+Table1[[#This Row],[P (-shock)]]-2*Table1[[#This Row],[Ask Price]])/(2*Table1[[#This Row],[Ask Price]]*($AE$2^2))</f>
        <v>29.152561314387</v>
      </c>
    </row>
    <row r="505" spans="1:32" x14ac:dyDescent="0.25">
      <c r="A505" s="21" t="s">
        <v>1056</v>
      </c>
      <c r="B505" s="3" t="s">
        <v>1057</v>
      </c>
      <c r="C505" s="3" t="s">
        <v>19</v>
      </c>
      <c r="D505" s="4">
        <v>44854</v>
      </c>
      <c r="E505" s="4">
        <v>45950</v>
      </c>
      <c r="F505" s="3">
        <v>1000</v>
      </c>
      <c r="G505" s="3" t="s">
        <v>20</v>
      </c>
      <c r="H505" s="3">
        <v>1082</v>
      </c>
      <c r="I505" s="3" t="s">
        <v>20</v>
      </c>
      <c r="J505" s="3">
        <v>108.2</v>
      </c>
      <c r="K505" s="3">
        <v>1</v>
      </c>
      <c r="L505" s="5">
        <v>9.2499999999999999E-2</v>
      </c>
      <c r="M505" s="3" t="s">
        <v>21</v>
      </c>
      <c r="N505" s="3">
        <v>33</v>
      </c>
      <c r="O505" s="6">
        <f>Table1[[#This Row],[Current coupon %]]*Table1[[#This Row],[Face value]]/Table1[[#This Row],[Ask Price]]</f>
        <v>8.5489833641404805E-2</v>
      </c>
      <c r="P505" s="3"/>
      <c r="Q505" s="3" t="s">
        <v>22</v>
      </c>
      <c r="R505">
        <f t="shared" si="7"/>
        <v>3</v>
      </c>
      <c r="S505" s="22" cm="1">
        <f t="array" ref="S505">_xlfn.IFS(Table1[[#This Row],[Coupon frequency]]="Semi-annual",2,Table1[[#This Row],[Coupon frequency]]="Quarterly",4,Table1[[#This Row],[Coupon frequency]]="Annual",1,Table1[[#This Row],[Coupon frequency]]="Every 4 months",3,Table1[[#This Row],[Coupon frequency]]="Monthly",12)</f>
        <v>1</v>
      </c>
      <c r="T505">
        <f>Table1[[#This Row],[Term to Maturity (Years)]]*Table1[[#This Row],[Coupon Frequency2]]</f>
        <v>3</v>
      </c>
      <c r="U505">
        <f>Table1[[#This Row],[Face value]]*Table1[[#This Row],[Current coupon %]]/Table1[[#This Row],[Coupon Frequency2]]</f>
        <v>92.5</v>
      </c>
      <c r="V505" s="23">
        <f>RATE(Table1[[#This Row],[Total No. of Coupons]],Table1[[#This Row],[Coupon Amount]],-Table1[[#This Row],[Ask Price]],Table1[[#This Row],[Face value]])</f>
        <v>6.1725036981504881E-2</v>
      </c>
      <c r="W505" s="24">
        <f>Table1[[#This Row],[IRR]]*Table1[[#This Row],[Coupon Frequency2]]</f>
        <v>6.1725036981504881E-2</v>
      </c>
      <c r="X505" s="25" cm="1">
        <f t="array" ref="X50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5" s="26">
        <f>DURATION(Table1[[#This Row],[Issue date]],Table1[[#This Row],[Maturity date]],Table1[[#This Row],[Current coupon %]],Table1[[#This Row],[Yield (Annualised)]],Table1[[#This Row],[Coupon Frequency2]])</f>
        <v>2.7631218934536488</v>
      </c>
      <c r="Z505" s="26">
        <f>Table1[[#This Row],[Macaulay Duration in Years]]/(1+Table1[[#This Row],[IRR]])</f>
        <v>2.6024835029879609</v>
      </c>
      <c r="AA505" s="27">
        <f>VLOOKUP(Table1[[#This Row],[Yield Cluster]],'[1]Cluster Details'!$B$3:$C$16,2,0)</f>
        <v>7.8548801574189142E-2</v>
      </c>
      <c r="AB505" s="28">
        <f>PRICE(Table1[[#This Row],[Issue date]],Table1[[#This Row],[Maturity date]],Table1[[#This Row],[Current coupon %]],Table1[[#This Row],[Average Cluster Yield]],100,Table1[[#This Row],[Coupon Frequency2]])*Table1[[#This Row],[Face value]]/100</f>
        <v>1036.0479455174532</v>
      </c>
      <c r="AC505" s="27" t="str">
        <f>IF(Table1[[#This Row],[Ask Price]]&gt;Table1[[#This Row],[Calculated Bond Price]],"Rich","Cheap")</f>
        <v>Rich</v>
      </c>
      <c r="AD505" s="28">
        <f>PRICE(Table1[[#This Row],[Issue date]],Table1[[#This Row],[Maturity date]],Table1[[#This Row],[Current coupon %]],Table1[[#This Row],[Yield (Annualised)]]+$AE$2,100,Table1[[#This Row],[Coupon Frequency2]])*Table1[[#This Row],[Face value]]/100</f>
        <v>1054.3486929339449</v>
      </c>
      <c r="AE505" s="28">
        <f>PRICE(Table1[[#This Row],[Issue date]],Table1[[#This Row],[Maturity date]],Table1[[#This Row],[Current coupon %]],Table1[[#This Row],[Yield (Annualised)]]-$AE$2,100,Table1[[#This Row],[Coupon Frequency2]])*Table1[[#This Row],[Face value]]/100</f>
        <v>1110.6823867833048</v>
      </c>
      <c r="AF505" s="28">
        <f>(Table1[[#This Row],[P (+ shock)]]+Table1[[#This Row],[P (-shock)]]-2*Table1[[#This Row],[Ask Price]])/(2*Table1[[#This Row],[Ask Price]]*($AE$2^2))</f>
        <v>4.7646937026324752</v>
      </c>
    </row>
    <row r="506" spans="1:32" x14ac:dyDescent="0.25">
      <c r="A506" s="21" t="s">
        <v>1058</v>
      </c>
      <c r="B506" s="3" t="s">
        <v>1059</v>
      </c>
      <c r="C506" s="3" t="s">
        <v>19</v>
      </c>
      <c r="D506" s="4">
        <v>43419</v>
      </c>
      <c r="E506" s="4">
        <v>47072</v>
      </c>
      <c r="F506" s="3">
        <v>1000000</v>
      </c>
      <c r="G506" s="3" t="s">
        <v>20</v>
      </c>
      <c r="H506" s="3">
        <v>1000000</v>
      </c>
      <c r="I506" s="3" t="s">
        <v>20</v>
      </c>
      <c r="J506" s="3">
        <v>100</v>
      </c>
      <c r="K506" s="3">
        <v>1</v>
      </c>
      <c r="L506" s="5">
        <v>8.539999999999999E-2</v>
      </c>
      <c r="M506" s="3" t="s">
        <v>53</v>
      </c>
      <c r="N506" s="3">
        <v>1155</v>
      </c>
      <c r="O506" s="6">
        <f>Table1[[#This Row],[Current coupon %]]*Table1[[#This Row],[Face value]]/Table1[[#This Row],[Ask Price]]</f>
        <v>8.539999999999999E-2</v>
      </c>
      <c r="P506" s="3"/>
      <c r="Q506" s="3" t="s">
        <v>22</v>
      </c>
      <c r="R506">
        <f t="shared" si="7"/>
        <v>10</v>
      </c>
      <c r="S506" s="22" cm="1">
        <f t="array" ref="S506">_xlfn.IFS(Table1[[#This Row],[Coupon frequency]]="Semi-annual",2,Table1[[#This Row],[Coupon frequency]]="Quarterly",4,Table1[[#This Row],[Coupon frequency]]="Annual",1,Table1[[#This Row],[Coupon frequency]]="Every 4 months",3,Table1[[#This Row],[Coupon frequency]]="Monthly",12)</f>
        <v>2</v>
      </c>
      <c r="T506">
        <f>Table1[[#This Row],[Term to Maturity (Years)]]*Table1[[#This Row],[Coupon Frequency2]]</f>
        <v>20</v>
      </c>
      <c r="U506">
        <f>Table1[[#This Row],[Face value]]*Table1[[#This Row],[Current coupon %]]/Table1[[#This Row],[Coupon Frequency2]]</f>
        <v>42699.999999999993</v>
      </c>
      <c r="V506" s="23">
        <f>RATE(Table1[[#This Row],[Total No. of Coupons]],Table1[[#This Row],[Coupon Amount]],-Table1[[#This Row],[Ask Price]],Table1[[#This Row],[Face value]])</f>
        <v>4.2699999999999995E-2</v>
      </c>
      <c r="W506" s="24">
        <f>Table1[[#This Row],[IRR]]*Table1[[#This Row],[Coupon Frequency2]]</f>
        <v>8.539999999999999E-2</v>
      </c>
      <c r="X506" s="25" cm="1">
        <f t="array" ref="X50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6" s="26">
        <f>DURATION(Table1[[#This Row],[Issue date]],Table1[[#This Row],[Maturity date]],Table1[[#This Row],[Current coupon %]],Table1[[#This Row],[Yield (Annualised)]],Table1[[#This Row],[Coupon Frequency2]])</f>
        <v>6.9188909615884082</v>
      </c>
      <c r="Z506" s="26">
        <f>Table1[[#This Row],[Macaulay Duration in Years]]/(1+Table1[[#This Row],[IRR]])</f>
        <v>6.6355528546930165</v>
      </c>
      <c r="AA506" s="27">
        <f>VLOOKUP(Table1[[#This Row],[Yield Cluster]],'[1]Cluster Details'!$B$3:$C$16,2,0)</f>
        <v>7.8548801574189142E-2</v>
      </c>
      <c r="AB506" s="28">
        <f>PRICE(Table1[[#This Row],[Issue date]],Table1[[#This Row],[Maturity date]],Table1[[#This Row],[Current coupon %]],Table1[[#This Row],[Average Cluster Yield]],100,Table1[[#This Row],[Coupon Frequency2]])*Table1[[#This Row],[Face value]]/100</f>
        <v>1046855.5693984297</v>
      </c>
      <c r="AC506" s="27" t="str">
        <f>IF(Table1[[#This Row],[Ask Price]]&gt;Table1[[#This Row],[Calculated Bond Price]],"Rich","Cheap")</f>
        <v>Cheap</v>
      </c>
      <c r="AD506" s="28">
        <f>PRICE(Table1[[#This Row],[Issue date]],Table1[[#This Row],[Maturity date]],Table1[[#This Row],[Current coupon %]],Table1[[#This Row],[Yield (Annualised)]]+$AE$2,100,Table1[[#This Row],[Coupon Frequency2]])*Table1[[#This Row],[Face value]]/100</f>
        <v>936455.63633189688</v>
      </c>
      <c r="AE506" s="28">
        <f>PRICE(Table1[[#This Row],[Issue date]],Table1[[#This Row],[Maturity date]],Table1[[#This Row],[Current coupon %]],Table1[[#This Row],[Yield (Annualised)]]-$AE$2,100,Table1[[#This Row],[Coupon Frequency2]])*Table1[[#This Row],[Face value]]/100</f>
        <v>1069356.7981415698</v>
      </c>
      <c r="AF506" s="28">
        <f>(Table1[[#This Row],[P (+ shock)]]+Table1[[#This Row],[P (-shock)]]-2*Table1[[#This Row],[Ask Price]])/(2*Table1[[#This Row],[Ask Price]]*($AE$2^2))</f>
        <v>29.06217236733297</v>
      </c>
    </row>
    <row r="507" spans="1:32" x14ac:dyDescent="0.25">
      <c r="A507" s="21" t="s">
        <v>1060</v>
      </c>
      <c r="B507" s="3" t="s">
        <v>1061</v>
      </c>
      <c r="C507" s="3" t="s">
        <v>19</v>
      </c>
      <c r="D507" s="4">
        <v>42527</v>
      </c>
      <c r="E507" s="4">
        <v>46179</v>
      </c>
      <c r="F507" s="3">
        <v>1000</v>
      </c>
      <c r="G507" s="3" t="s">
        <v>20</v>
      </c>
      <c r="H507" s="3">
        <v>1000</v>
      </c>
      <c r="I507" s="3" t="s">
        <v>20</v>
      </c>
      <c r="J507" s="3">
        <v>100</v>
      </c>
      <c r="K507" s="3">
        <v>1500</v>
      </c>
      <c r="L507" s="5">
        <v>8.5299999999999987E-2</v>
      </c>
      <c r="M507" s="3" t="s">
        <v>44</v>
      </c>
      <c r="N507" s="3">
        <v>262</v>
      </c>
      <c r="O507" s="6">
        <f>Table1[[#This Row],[Current coupon %]]*Table1[[#This Row],[Face value]]/Table1[[#This Row],[Ask Price]]</f>
        <v>8.5299999999999987E-2</v>
      </c>
      <c r="P507" s="3"/>
      <c r="Q507" s="3" t="s">
        <v>22</v>
      </c>
      <c r="R507">
        <f t="shared" si="7"/>
        <v>10</v>
      </c>
      <c r="S507" s="22" cm="1">
        <f t="array" ref="S507">_xlfn.IFS(Table1[[#This Row],[Coupon frequency]]="Semi-annual",2,Table1[[#This Row],[Coupon frequency]]="Quarterly",4,Table1[[#This Row],[Coupon frequency]]="Annual",1,Table1[[#This Row],[Coupon frequency]]="Every 4 months",3,Table1[[#This Row],[Coupon frequency]]="Monthly",12)</f>
        <v>4</v>
      </c>
      <c r="T507">
        <f>Table1[[#This Row],[Term to Maturity (Years)]]*Table1[[#This Row],[Coupon Frequency2]]</f>
        <v>40</v>
      </c>
      <c r="U507">
        <f>Table1[[#This Row],[Face value]]*Table1[[#This Row],[Current coupon %]]/Table1[[#This Row],[Coupon Frequency2]]</f>
        <v>21.324999999999996</v>
      </c>
      <c r="V507" s="23">
        <f>RATE(Table1[[#This Row],[Total No. of Coupons]],Table1[[#This Row],[Coupon Amount]],-Table1[[#This Row],[Ask Price]],Table1[[#This Row],[Face value]])</f>
        <v>2.1325E-2</v>
      </c>
      <c r="W507" s="24">
        <f>Table1[[#This Row],[IRR]]*Table1[[#This Row],[Coupon Frequency2]]</f>
        <v>8.5300000000000001E-2</v>
      </c>
      <c r="X507" s="25" cm="1">
        <f t="array" ref="X50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7" s="26">
        <f>DURATION(Table1[[#This Row],[Issue date]],Table1[[#This Row],[Maturity date]],Table1[[#This Row],[Current coupon %]],Table1[[#This Row],[Yield (Annualised)]],Table1[[#This Row],[Coupon Frequency2]])</f>
        <v>6.8251174145158418</v>
      </c>
      <c r="Z507" s="26">
        <f>Table1[[#This Row],[Macaulay Duration in Years]]/(1+Table1[[#This Row],[IRR]])</f>
        <v>6.6826107404752078</v>
      </c>
      <c r="AA507" s="27">
        <f>VLOOKUP(Table1[[#This Row],[Yield Cluster]],'[1]Cluster Details'!$B$3:$C$16,2,0)</f>
        <v>7.8548801574189142E-2</v>
      </c>
      <c r="AB507" s="28">
        <f>PRICE(Table1[[#This Row],[Issue date]],Table1[[#This Row],[Maturity date]],Table1[[#This Row],[Current coupon %]],Table1[[#This Row],[Average Cluster Yield]],100,Table1[[#This Row],[Coupon Frequency2]])*Table1[[#This Row],[Face value]]/100</f>
        <v>1046.4657051259214</v>
      </c>
      <c r="AC507" s="27" t="str">
        <f>IF(Table1[[#This Row],[Ask Price]]&gt;Table1[[#This Row],[Calculated Bond Price]],"Rich","Cheap")</f>
        <v>Cheap</v>
      </c>
      <c r="AD507" s="28">
        <f>PRICE(Table1[[#This Row],[Issue date]],Table1[[#This Row],[Maturity date]],Table1[[#This Row],[Current coupon %]],Table1[[#This Row],[Yield (Annualised)]]+$AE$2,100,Table1[[#This Row],[Coupon Frequency2]])*Table1[[#This Row],[Face value]]/100</f>
        <v>935.98276682813344</v>
      </c>
      <c r="AE507" s="28">
        <f>PRICE(Table1[[#This Row],[Issue date]],Table1[[#This Row],[Maturity date]],Table1[[#This Row],[Current coupon %]],Table1[[#This Row],[Yield (Annualised)]]-$AE$2,100,Table1[[#This Row],[Coupon Frequency2]])*Table1[[#This Row],[Face value]]/100</f>
        <v>1069.8194215675901</v>
      </c>
      <c r="AF507" s="28">
        <f>(Table1[[#This Row],[P (+ shock)]]+Table1[[#This Row],[P (-shock)]]-2*Table1[[#This Row],[Ask Price]])/(2*Table1[[#This Row],[Ask Price]]*($AE$2^2))</f>
        <v>29.010941978617666</v>
      </c>
    </row>
    <row r="508" spans="1:32" x14ac:dyDescent="0.25">
      <c r="A508" s="21" t="s">
        <v>1062</v>
      </c>
      <c r="B508" s="3" t="s">
        <v>1063</v>
      </c>
      <c r="C508" s="3" t="s">
        <v>19</v>
      </c>
      <c r="D508" s="4">
        <v>45147</v>
      </c>
      <c r="E508" s="4">
        <v>46974</v>
      </c>
      <c r="F508" s="3">
        <v>1000</v>
      </c>
      <c r="G508" s="3" t="s">
        <v>20</v>
      </c>
      <c r="H508" s="3">
        <v>985</v>
      </c>
      <c r="I508" s="3" t="s">
        <v>20</v>
      </c>
      <c r="J508" s="3">
        <v>98.5</v>
      </c>
      <c r="K508" s="3">
        <v>1000</v>
      </c>
      <c r="L508" s="5">
        <v>8.4000000000000005E-2</v>
      </c>
      <c r="M508" s="3" t="s">
        <v>21</v>
      </c>
      <c r="N508" s="3">
        <v>1057</v>
      </c>
      <c r="O508" s="6">
        <f>Table1[[#This Row],[Current coupon %]]*Table1[[#This Row],[Face value]]/Table1[[#This Row],[Ask Price]]</f>
        <v>8.5279187817258878E-2</v>
      </c>
      <c r="P508" s="3"/>
      <c r="Q508" s="3" t="s">
        <v>22</v>
      </c>
      <c r="R508">
        <f t="shared" si="7"/>
        <v>5</v>
      </c>
      <c r="S508" s="22" cm="1">
        <f t="array" ref="S508">_xlfn.IFS(Table1[[#This Row],[Coupon frequency]]="Semi-annual",2,Table1[[#This Row],[Coupon frequency]]="Quarterly",4,Table1[[#This Row],[Coupon frequency]]="Annual",1,Table1[[#This Row],[Coupon frequency]]="Every 4 months",3,Table1[[#This Row],[Coupon frequency]]="Monthly",12)</f>
        <v>1</v>
      </c>
      <c r="T508">
        <f>Table1[[#This Row],[Term to Maturity (Years)]]*Table1[[#This Row],[Coupon Frequency2]]</f>
        <v>5</v>
      </c>
      <c r="U508">
        <f>Table1[[#This Row],[Face value]]*Table1[[#This Row],[Current coupon %]]/Table1[[#This Row],[Coupon Frequency2]]</f>
        <v>84</v>
      </c>
      <c r="V508" s="23">
        <f>RATE(Table1[[#This Row],[Total No. of Coupons]],Table1[[#This Row],[Coupon Amount]],-Table1[[#This Row],[Ask Price]],Table1[[#This Row],[Face value]])</f>
        <v>8.7834745456821434E-2</v>
      </c>
      <c r="W508" s="24">
        <f>Table1[[#This Row],[IRR]]*Table1[[#This Row],[Coupon Frequency2]]</f>
        <v>8.7834745456821434E-2</v>
      </c>
      <c r="X508" s="25" cm="1">
        <f t="array" ref="X50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8" s="26">
        <f>DURATION(Table1[[#This Row],[Issue date]],Table1[[#This Row],[Maturity date]],Table1[[#This Row],[Current coupon %]],Table1[[#This Row],[Yield (Annualised)]],Table1[[#This Row],[Coupon Frequency2]])</f>
        <v>4.2768478036951132</v>
      </c>
      <c r="Z508" s="26">
        <f>Table1[[#This Row],[Macaulay Duration in Years]]/(1+Table1[[#This Row],[IRR]])</f>
        <v>3.9315234428360801</v>
      </c>
      <c r="AA508" s="27">
        <f>VLOOKUP(Table1[[#This Row],[Yield Cluster]],'[1]Cluster Details'!$B$3:$C$16,2,0)</f>
        <v>7.8548801574189142E-2</v>
      </c>
      <c r="AB508" s="28">
        <f>PRICE(Table1[[#This Row],[Issue date]],Table1[[#This Row],[Maturity date]],Table1[[#This Row],[Current coupon %]],Table1[[#This Row],[Average Cluster Yield]],100,Table1[[#This Row],[Coupon Frequency2]])*Table1[[#This Row],[Face value]]/100</f>
        <v>1021.8485566759502</v>
      </c>
      <c r="AC508" s="27" t="str">
        <f>IF(Table1[[#This Row],[Ask Price]]&gt;Table1[[#This Row],[Calculated Bond Price]],"Rich","Cheap")</f>
        <v>Cheap</v>
      </c>
      <c r="AD508" s="28">
        <f>PRICE(Table1[[#This Row],[Issue date]],Table1[[#This Row],[Maturity date]],Table1[[#This Row],[Current coupon %]],Table1[[#This Row],[Yield (Annualised)]]+$AE$2,100,Table1[[#This Row],[Coupon Frequency2]])*Table1[[#This Row],[Face value]]/100</f>
        <v>947.26403973343565</v>
      </c>
      <c r="AE508" s="28">
        <f>PRICE(Table1[[#This Row],[Issue date]],Table1[[#This Row],[Maturity date]],Table1[[#This Row],[Current coupon %]],Table1[[#This Row],[Yield (Annualised)]]-$AE$2,100,Table1[[#This Row],[Coupon Frequency2]])*Table1[[#This Row],[Face value]]/100</f>
        <v>1024.7571948947189</v>
      </c>
      <c r="AF508" s="28">
        <f>(Table1[[#This Row],[P (+ shock)]]+Table1[[#This Row],[P (-shock)]]-2*Table1[[#This Row],[Ask Price]])/(2*Table1[[#This Row],[Ask Price]]*($AE$2^2))</f>
        <v>10.260074254591959</v>
      </c>
    </row>
    <row r="509" spans="1:32" x14ac:dyDescent="0.25">
      <c r="A509" s="21" t="s">
        <v>1064</v>
      </c>
      <c r="B509" s="3" t="s">
        <v>1065</v>
      </c>
      <c r="C509" s="3" t="s">
        <v>19</v>
      </c>
      <c r="D509" s="4">
        <v>45855</v>
      </c>
      <c r="E509" s="4">
        <v>46585</v>
      </c>
      <c r="F509" s="3">
        <v>1000</v>
      </c>
      <c r="G509" s="3" t="s">
        <v>20</v>
      </c>
      <c r="H509" s="3">
        <v>1050</v>
      </c>
      <c r="I509" s="3" t="s">
        <v>20</v>
      </c>
      <c r="J509" s="3">
        <v>105</v>
      </c>
      <c r="K509" s="3">
        <v>50</v>
      </c>
      <c r="L509" s="5">
        <v>8.9499999999999996E-2</v>
      </c>
      <c r="M509" s="3" t="s">
        <v>21</v>
      </c>
      <c r="N509" s="3">
        <v>668</v>
      </c>
      <c r="O509" s="6">
        <f>Table1[[#This Row],[Current coupon %]]*Table1[[#This Row],[Face value]]/Table1[[#This Row],[Ask Price]]</f>
        <v>8.5238095238095238E-2</v>
      </c>
      <c r="P509" s="3"/>
      <c r="Q509" s="3" t="s">
        <v>22</v>
      </c>
      <c r="R509">
        <f t="shared" si="7"/>
        <v>2</v>
      </c>
      <c r="S509" s="22" cm="1">
        <f t="array" ref="S509">_xlfn.IFS(Table1[[#This Row],[Coupon frequency]]="Semi-annual",2,Table1[[#This Row],[Coupon frequency]]="Quarterly",4,Table1[[#This Row],[Coupon frequency]]="Annual",1,Table1[[#This Row],[Coupon frequency]]="Every 4 months",3,Table1[[#This Row],[Coupon frequency]]="Monthly",12)</f>
        <v>1</v>
      </c>
      <c r="T509">
        <f>Table1[[#This Row],[Term to Maturity (Years)]]*Table1[[#This Row],[Coupon Frequency2]]</f>
        <v>2</v>
      </c>
      <c r="U509">
        <f>Table1[[#This Row],[Face value]]*Table1[[#This Row],[Current coupon %]]/Table1[[#This Row],[Coupon Frequency2]]</f>
        <v>89.5</v>
      </c>
      <c r="V509" s="23">
        <f>RATE(Table1[[#This Row],[Total No. of Coupons]],Table1[[#This Row],[Coupon Amount]],-Table1[[#This Row],[Ask Price]],Table1[[#This Row],[Face value]])</f>
        <v>6.2146109956806167E-2</v>
      </c>
      <c r="W509" s="24">
        <f>Table1[[#This Row],[IRR]]*Table1[[#This Row],[Coupon Frequency2]]</f>
        <v>6.2146109956806167E-2</v>
      </c>
      <c r="X509" s="25" cm="1">
        <f t="array" ref="X50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09" s="26">
        <f>DURATION(Table1[[#This Row],[Issue date]],Table1[[#This Row],[Maturity date]],Table1[[#This Row],[Current coupon %]],Table1[[#This Row],[Yield (Annualised)]],Table1[[#This Row],[Coupon Frequency2]])</f>
        <v>1.9197491809845579</v>
      </c>
      <c r="Z509" s="26">
        <f>Table1[[#This Row],[Macaulay Duration in Years]]/(1+Table1[[#This Row],[IRR]])</f>
        <v>1.8074247629289228</v>
      </c>
      <c r="AA509" s="27">
        <f>VLOOKUP(Table1[[#This Row],[Yield Cluster]],'[1]Cluster Details'!$B$3:$C$16,2,0)</f>
        <v>7.8548801574189142E-2</v>
      </c>
      <c r="AB509" s="28">
        <f>PRICE(Table1[[#This Row],[Issue date]],Table1[[#This Row],[Maturity date]],Table1[[#This Row],[Current coupon %]],Table1[[#This Row],[Average Cluster Yield]],100,Table1[[#This Row],[Coupon Frequency2]])*Table1[[#This Row],[Face value]]/100</f>
        <v>1019.5678122390063</v>
      </c>
      <c r="AC509" s="27" t="str">
        <f>IF(Table1[[#This Row],[Ask Price]]&gt;Table1[[#This Row],[Calculated Bond Price]],"Rich","Cheap")</f>
        <v>Rich</v>
      </c>
      <c r="AD509" s="28">
        <f>PRICE(Table1[[#This Row],[Issue date]],Table1[[#This Row],[Maturity date]],Table1[[#This Row],[Current coupon %]],Table1[[#This Row],[Yield (Annualised)]]+$AE$2,100,Table1[[#This Row],[Coupon Frequency2]])*Table1[[#This Row],[Face value]]/100</f>
        <v>1031.2830628980273</v>
      </c>
      <c r="AE509" s="28">
        <f>PRICE(Table1[[#This Row],[Issue date]],Table1[[#This Row],[Maturity date]],Table1[[#This Row],[Current coupon %]],Table1[[#This Row],[Yield (Annualised)]]-$AE$2,100,Table1[[#This Row],[Coupon Frequency2]])*Table1[[#This Row],[Face value]]/100</f>
        <v>1069.2455719993245</v>
      </c>
      <c r="AF509" s="28">
        <f>(Table1[[#This Row],[P (+ shock)]]+Table1[[#This Row],[P (-shock)]]-2*Table1[[#This Row],[Ask Price]])/(2*Table1[[#This Row],[Ask Price]]*($AE$2^2))</f>
        <v>2.5173090350086738</v>
      </c>
    </row>
    <row r="510" spans="1:32" x14ac:dyDescent="0.25">
      <c r="A510" s="21" t="s">
        <v>1066</v>
      </c>
      <c r="B510" s="3" t="s">
        <v>1067</v>
      </c>
      <c r="C510" s="3" t="s">
        <v>19</v>
      </c>
      <c r="D510" s="4">
        <v>42821</v>
      </c>
      <c r="E510" s="4">
        <v>46461</v>
      </c>
      <c r="F510" s="3">
        <v>1000000</v>
      </c>
      <c r="G510" s="3" t="s">
        <v>20</v>
      </c>
      <c r="H510" s="3">
        <v>995556.62</v>
      </c>
      <c r="I510" s="3" t="s">
        <v>20</v>
      </c>
      <c r="J510" s="3">
        <v>99.555661999999998</v>
      </c>
      <c r="K510" s="3">
        <v>1</v>
      </c>
      <c r="L510" s="5">
        <v>8.48E-2</v>
      </c>
      <c r="M510" s="3" t="s">
        <v>44</v>
      </c>
      <c r="N510" s="3">
        <v>544</v>
      </c>
      <c r="O510" s="6">
        <f>Table1[[#This Row],[Current coupon %]]*Table1[[#This Row],[Face value]]/Table1[[#This Row],[Ask Price]]</f>
        <v>8.5178480356044445E-2</v>
      </c>
      <c r="P510" s="3"/>
      <c r="Q510" s="3" t="s">
        <v>22</v>
      </c>
      <c r="R510">
        <f t="shared" si="7"/>
        <v>10</v>
      </c>
      <c r="S510" s="22" cm="1">
        <f t="array" ref="S510">_xlfn.IFS(Table1[[#This Row],[Coupon frequency]]="Semi-annual",2,Table1[[#This Row],[Coupon frequency]]="Quarterly",4,Table1[[#This Row],[Coupon frequency]]="Annual",1,Table1[[#This Row],[Coupon frequency]]="Every 4 months",3,Table1[[#This Row],[Coupon frequency]]="Monthly",12)</f>
        <v>4</v>
      </c>
      <c r="T510">
        <f>Table1[[#This Row],[Term to Maturity (Years)]]*Table1[[#This Row],[Coupon Frequency2]]</f>
        <v>40</v>
      </c>
      <c r="U510">
        <f>Table1[[#This Row],[Face value]]*Table1[[#This Row],[Current coupon %]]/Table1[[#This Row],[Coupon Frequency2]]</f>
        <v>21200</v>
      </c>
      <c r="V510" s="23">
        <f>RATE(Table1[[#This Row],[Total No. of Coupons]],Table1[[#This Row],[Coupon Amount]],-Table1[[#This Row],[Ask Price]],Table1[[#This Row],[Face value]])</f>
        <v>2.1366348477352571E-2</v>
      </c>
      <c r="W510" s="24">
        <f>Table1[[#This Row],[IRR]]*Table1[[#This Row],[Coupon Frequency2]]</f>
        <v>8.5465393909410284E-2</v>
      </c>
      <c r="X510" s="25" cm="1">
        <f t="array" ref="X5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0" s="26">
        <f>DURATION(Table1[[#This Row],[Issue date]],Table1[[#This Row],[Maturity date]],Table1[[#This Row],[Current coupon %]],Table1[[#This Row],[Yield (Annualised)]],Table1[[#This Row],[Coupon Frequency2]])</f>
        <v>6.7978399501042253</v>
      </c>
      <c r="Z510" s="26">
        <f>Table1[[#This Row],[Macaulay Duration in Years]]/(1+Table1[[#This Row],[IRR]])</f>
        <v>6.6556333682213129</v>
      </c>
      <c r="AA510" s="27">
        <f>VLOOKUP(Table1[[#This Row],[Yield Cluster]],'[1]Cluster Details'!$B$3:$C$16,2,0)</f>
        <v>7.8548801574189142E-2</v>
      </c>
      <c r="AB510" s="28">
        <f>PRICE(Table1[[#This Row],[Issue date]],Table1[[#This Row],[Maturity date]],Table1[[#This Row],[Current coupon %]],Table1[[#This Row],[Average Cluster Yield]],100,Table1[[#This Row],[Coupon Frequency2]])*Table1[[#This Row],[Face value]]/100</f>
        <v>1042905.7304497869</v>
      </c>
      <c r="AC510" s="27" t="str">
        <f>IF(Table1[[#This Row],[Ask Price]]&gt;Table1[[#This Row],[Calculated Bond Price]],"Rich","Cheap")</f>
        <v>Cheap</v>
      </c>
      <c r="AD510" s="28">
        <f>PRICE(Table1[[#This Row],[Issue date]],Table1[[#This Row],[Maturity date]],Table1[[#This Row],[Current coupon %]],Table1[[#This Row],[Yield (Annualised)]]+$AE$2,100,Table1[[#This Row],[Coupon Frequency2]])*Table1[[#This Row],[Face value]]/100</f>
        <v>931879.2551000833</v>
      </c>
      <c r="AE510" s="28">
        <f>PRICE(Table1[[#This Row],[Issue date]],Table1[[#This Row],[Maturity date]],Table1[[#This Row],[Current coupon %]],Table1[[#This Row],[Yield (Annualised)]]-$AE$2,100,Table1[[#This Row],[Coupon Frequency2]])*Table1[[#This Row],[Face value]]/100</f>
        <v>1064957.0156221925</v>
      </c>
      <c r="AF510" s="28">
        <f>(Table1[[#This Row],[P (+ shock)]]+Table1[[#This Row],[P (-shock)]]-2*Table1[[#This Row],[Ask Price]])/(2*Table1[[#This Row],[Ask Price]]*($AE$2^2))</f>
        <v>28.742869101085592</v>
      </c>
    </row>
    <row r="511" spans="1:32" x14ac:dyDescent="0.25">
      <c r="A511" s="21" t="s">
        <v>1068</v>
      </c>
      <c r="B511" s="3" t="s">
        <v>1069</v>
      </c>
      <c r="C511" s="3" t="s">
        <v>19</v>
      </c>
      <c r="D511" s="4">
        <v>45320</v>
      </c>
      <c r="E511" s="4">
        <v>46471</v>
      </c>
      <c r="F511" s="3">
        <v>100000</v>
      </c>
      <c r="G511" s="3" t="s">
        <v>20</v>
      </c>
      <c r="H511" s="3">
        <v>97000</v>
      </c>
      <c r="I511" s="3" t="s">
        <v>20</v>
      </c>
      <c r="J511" s="3">
        <v>97</v>
      </c>
      <c r="K511" s="3">
        <v>1</v>
      </c>
      <c r="L511" s="5">
        <v>8.2500000000000004E-2</v>
      </c>
      <c r="M511" s="3" t="s">
        <v>21</v>
      </c>
      <c r="N511" s="3">
        <v>554</v>
      </c>
      <c r="O511" s="6">
        <f>Table1[[#This Row],[Current coupon %]]*Table1[[#This Row],[Face value]]/Table1[[#This Row],[Ask Price]]</f>
        <v>8.505154639175258E-2</v>
      </c>
      <c r="P511" s="3"/>
      <c r="Q511" s="3" t="s">
        <v>22</v>
      </c>
      <c r="R511">
        <f t="shared" si="7"/>
        <v>3</v>
      </c>
      <c r="S511" s="22" cm="1">
        <f t="array" ref="S511">_xlfn.IFS(Table1[[#This Row],[Coupon frequency]]="Semi-annual",2,Table1[[#This Row],[Coupon frequency]]="Quarterly",4,Table1[[#This Row],[Coupon frequency]]="Annual",1,Table1[[#This Row],[Coupon frequency]]="Every 4 months",3,Table1[[#This Row],[Coupon frequency]]="Monthly",12)</f>
        <v>1</v>
      </c>
      <c r="T511">
        <f>Table1[[#This Row],[Term to Maturity (Years)]]*Table1[[#This Row],[Coupon Frequency2]]</f>
        <v>3</v>
      </c>
      <c r="U511">
        <f>Table1[[#This Row],[Face value]]*Table1[[#This Row],[Current coupon %]]/Table1[[#This Row],[Coupon Frequency2]]</f>
        <v>8250</v>
      </c>
      <c r="V511" s="23">
        <f>RATE(Table1[[#This Row],[Total No. of Coupons]],Table1[[#This Row],[Coupon Amount]],-Table1[[#This Row],[Ask Price]],Table1[[#This Row],[Face value]])</f>
        <v>9.4445659734052723E-2</v>
      </c>
      <c r="W511" s="24">
        <f>Table1[[#This Row],[IRR]]*Table1[[#This Row],[Coupon Frequency2]]</f>
        <v>9.4445659734052723E-2</v>
      </c>
      <c r="X511" s="25" cm="1">
        <f t="array" ref="X5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1" s="26">
        <f>DURATION(Table1[[#This Row],[Issue date]],Table1[[#This Row],[Maturity date]],Table1[[#This Row],[Current coupon %]],Table1[[#This Row],[Yield (Annualised)]],Table1[[#This Row],[Coupon Frequency2]])</f>
        <v>2.7117200427878352</v>
      </c>
      <c r="Z511" s="26">
        <f>Table1[[#This Row],[Macaulay Duration in Years]]/(1+Table1[[#This Row],[IRR]])</f>
        <v>2.4777109933870776</v>
      </c>
      <c r="AA511" s="27">
        <f>VLOOKUP(Table1[[#This Row],[Yield Cluster]],'[1]Cluster Details'!$B$3:$C$16,2,0)</f>
        <v>7.8548801574189142E-2</v>
      </c>
      <c r="AB511" s="28">
        <f>PRICE(Table1[[#This Row],[Issue date]],Table1[[#This Row],[Maturity date]],Table1[[#This Row],[Current coupon %]],Table1[[#This Row],[Average Cluster Yield]],100,Table1[[#This Row],[Coupon Frequency2]])*Table1[[#This Row],[Face value]]/100</f>
        <v>101026.49188182491</v>
      </c>
      <c r="AC511" s="27" t="str">
        <f>IF(Table1[[#This Row],[Ask Price]]&gt;Table1[[#This Row],[Calculated Bond Price]],"Rich","Cheap")</f>
        <v>Cheap</v>
      </c>
      <c r="AD511" s="28">
        <f>PRICE(Table1[[#This Row],[Issue date]],Table1[[#This Row],[Maturity date]],Table1[[#This Row],[Current coupon %]],Table1[[#This Row],[Yield (Annualised)]]+$AE$2,100,Table1[[#This Row],[Coupon Frequency2]])*Table1[[#This Row],[Face value]]/100</f>
        <v>94291.268792840841</v>
      </c>
      <c r="AE511" s="28">
        <f>PRICE(Table1[[#This Row],[Issue date]],Table1[[#This Row],[Maturity date]],Table1[[#This Row],[Current coupon %]],Table1[[#This Row],[Yield (Annualised)]]-$AE$2,100,Table1[[#This Row],[Coupon Frequency2]])*Table1[[#This Row],[Face value]]/100</f>
        <v>99435.607048034406</v>
      </c>
      <c r="AF511" s="28">
        <f>(Table1[[#This Row],[P (+ shock)]]+Table1[[#This Row],[P (-shock)]]-2*Table1[[#This Row],[Ask Price]])/(2*Table1[[#This Row],[Ask Price]]*($AE$2^2))</f>
        <v>-14.078564903337012</v>
      </c>
    </row>
    <row r="512" spans="1:32" x14ac:dyDescent="0.25">
      <c r="A512" s="21" t="s">
        <v>1070</v>
      </c>
      <c r="B512" s="3" t="s">
        <v>1071</v>
      </c>
      <c r="C512" s="3" t="s">
        <v>19</v>
      </c>
      <c r="D512" s="4">
        <v>45604</v>
      </c>
      <c r="E512" s="4">
        <v>46588</v>
      </c>
      <c r="F512" s="3">
        <v>100000</v>
      </c>
      <c r="G512" s="3" t="s">
        <v>20</v>
      </c>
      <c r="H512" s="3">
        <v>105043.97</v>
      </c>
      <c r="I512" s="3" t="s">
        <v>20</v>
      </c>
      <c r="J512" s="3">
        <v>105.04397</v>
      </c>
      <c r="K512" s="3">
        <v>10</v>
      </c>
      <c r="L512" s="5">
        <v>8.9270000000000002E-2</v>
      </c>
      <c r="M512" s="3" t="s">
        <v>21</v>
      </c>
      <c r="N512" s="3">
        <v>671</v>
      </c>
      <c r="O512" s="6">
        <f>Table1[[#This Row],[Current coupon %]]*Table1[[#This Row],[Face value]]/Table1[[#This Row],[Ask Price]]</f>
        <v>8.4983459783555398E-2</v>
      </c>
      <c r="P512" s="3" t="s">
        <v>97</v>
      </c>
      <c r="Q512" s="3" t="s">
        <v>22</v>
      </c>
      <c r="R512">
        <f t="shared" si="7"/>
        <v>3</v>
      </c>
      <c r="S512" s="22" cm="1">
        <f t="array" ref="S512">_xlfn.IFS(Table1[[#This Row],[Coupon frequency]]="Semi-annual",2,Table1[[#This Row],[Coupon frequency]]="Quarterly",4,Table1[[#This Row],[Coupon frequency]]="Annual",1,Table1[[#This Row],[Coupon frequency]]="Every 4 months",3,Table1[[#This Row],[Coupon frequency]]="Monthly",12)</f>
        <v>1</v>
      </c>
      <c r="T512">
        <f>Table1[[#This Row],[Term to Maturity (Years)]]*Table1[[#This Row],[Coupon Frequency2]]</f>
        <v>3</v>
      </c>
      <c r="U512">
        <f>Table1[[#This Row],[Face value]]*Table1[[#This Row],[Current coupon %]]/Table1[[#This Row],[Coupon Frequency2]]</f>
        <v>8927</v>
      </c>
      <c r="V512" s="23">
        <f>RATE(Table1[[#This Row],[Total No. of Coupons]],Table1[[#This Row],[Coupon Amount]],-Table1[[#This Row],[Ask Price]],Table1[[#This Row],[Face value]])</f>
        <v>7.0048176514676097E-2</v>
      </c>
      <c r="W512" s="24">
        <f>Table1[[#This Row],[IRR]]*Table1[[#This Row],[Coupon Frequency2]]</f>
        <v>7.0048176514676097E-2</v>
      </c>
      <c r="X512" s="25" cm="1">
        <f t="array" ref="X5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2" s="26">
        <f>DURATION(Table1[[#This Row],[Issue date]],Table1[[#This Row],[Maturity date]],Table1[[#This Row],[Current coupon %]],Table1[[#This Row],[Yield (Annualised)]],Table1[[#This Row],[Coupon Frequency2]])</f>
        <v>2.4669384020710341</v>
      </c>
      <c r="Z512" s="26">
        <f>Table1[[#This Row],[Macaulay Duration in Years]]/(1+Table1[[#This Row],[IRR]])</f>
        <v>2.3054461062737013</v>
      </c>
      <c r="AA512" s="27">
        <f>VLOOKUP(Table1[[#This Row],[Yield Cluster]],'[1]Cluster Details'!$B$3:$C$16,2,0)</f>
        <v>7.8548801574189142E-2</v>
      </c>
      <c r="AB512" s="28">
        <f>PRICE(Table1[[#This Row],[Issue date]],Table1[[#This Row],[Maturity date]],Table1[[#This Row],[Current coupon %]],Table1[[#This Row],[Average Cluster Yield]],100,Table1[[#This Row],[Coupon Frequency2]])*Table1[[#This Row],[Face value]]/100</f>
        <v>102450.08693492312</v>
      </c>
      <c r="AC512" s="27" t="str">
        <f>IF(Table1[[#This Row],[Ask Price]]&gt;Table1[[#This Row],[Calculated Bond Price]],"Rich","Cheap")</f>
        <v>Rich</v>
      </c>
      <c r="AD512" s="28">
        <f>PRICE(Table1[[#This Row],[Issue date]],Table1[[#This Row],[Maturity date]],Table1[[#This Row],[Current coupon %]],Table1[[#This Row],[Yield (Annualised)]]+$AE$2,100,Table1[[#This Row],[Coupon Frequency2]])*Table1[[#This Row],[Face value]]/100</f>
        <v>102090.84397000819</v>
      </c>
      <c r="AE512" s="28">
        <f>PRICE(Table1[[#This Row],[Issue date]],Table1[[#This Row],[Maturity date]],Table1[[#This Row],[Current coupon %]],Table1[[#This Row],[Yield (Annualised)]]-$AE$2,100,Table1[[#This Row],[Coupon Frequency2]])*Table1[[#This Row],[Face value]]/100</f>
        <v>107034.89354884662</v>
      </c>
      <c r="AF512" s="28">
        <f>(Table1[[#This Row],[P (+ shock)]]+Table1[[#This Row],[P (-shock)]]-2*Table1[[#This Row],[Ask Price]])/(2*Table1[[#This Row],[Ask Price]]*($AE$2^2))</f>
        <v>-45.7999864792422</v>
      </c>
    </row>
    <row r="513" spans="1:32" x14ac:dyDescent="0.25">
      <c r="A513" s="21" t="s">
        <v>1072</v>
      </c>
      <c r="B513" s="3" t="s">
        <v>1073</v>
      </c>
      <c r="C513" s="3" t="s">
        <v>19</v>
      </c>
      <c r="D513" s="4">
        <v>45231</v>
      </c>
      <c r="E513" s="4">
        <v>45962</v>
      </c>
      <c r="F513" s="3">
        <v>1000</v>
      </c>
      <c r="G513" s="3" t="s">
        <v>20</v>
      </c>
      <c r="H513" s="3">
        <v>1059.0999999999999</v>
      </c>
      <c r="I513" s="3" t="s">
        <v>20</v>
      </c>
      <c r="J513" s="3">
        <v>105.91</v>
      </c>
      <c r="K513" s="3">
        <v>50</v>
      </c>
      <c r="L513" s="5">
        <v>0.09</v>
      </c>
      <c r="M513" s="3" t="s">
        <v>21</v>
      </c>
      <c r="N513" s="3">
        <v>45</v>
      </c>
      <c r="O513" s="6">
        <f>Table1[[#This Row],[Current coupon %]]*Table1[[#This Row],[Face value]]/Table1[[#This Row],[Ask Price]]</f>
        <v>8.4977811349258817E-2</v>
      </c>
      <c r="P513" s="3"/>
      <c r="Q513" s="3" t="s">
        <v>22</v>
      </c>
      <c r="R513">
        <f t="shared" si="7"/>
        <v>2</v>
      </c>
      <c r="S513" s="22" cm="1">
        <f t="array" ref="S513">_xlfn.IFS(Table1[[#This Row],[Coupon frequency]]="Semi-annual",2,Table1[[#This Row],[Coupon frequency]]="Quarterly",4,Table1[[#This Row],[Coupon frequency]]="Annual",1,Table1[[#This Row],[Coupon frequency]]="Every 4 months",3,Table1[[#This Row],[Coupon frequency]]="Monthly",12)</f>
        <v>1</v>
      </c>
      <c r="T513">
        <f>Table1[[#This Row],[Term to Maturity (Years)]]*Table1[[#This Row],[Coupon Frequency2]]</f>
        <v>2</v>
      </c>
      <c r="U513">
        <f>Table1[[#This Row],[Face value]]*Table1[[#This Row],[Current coupon %]]/Table1[[#This Row],[Coupon Frequency2]]</f>
        <v>90</v>
      </c>
      <c r="V513" s="23">
        <f>RATE(Table1[[#This Row],[Total No. of Coupons]],Table1[[#This Row],[Coupon Amount]],-Table1[[#This Row],[Ask Price]],Table1[[#This Row],[Face value]])</f>
        <v>5.7861262170252545E-2</v>
      </c>
      <c r="W513" s="24">
        <f>Table1[[#This Row],[IRR]]*Table1[[#This Row],[Coupon Frequency2]]</f>
        <v>5.7861262170252545E-2</v>
      </c>
      <c r="X513" s="25" cm="1">
        <f t="array" ref="X5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3" s="26">
        <f>DURATION(Table1[[#This Row],[Issue date]],Table1[[#This Row],[Maturity date]],Table1[[#This Row],[Current coupon %]],Table1[[#This Row],[Yield (Annualised)]],Table1[[#This Row],[Coupon Frequency2]])</f>
        <v>1.9196701737854236</v>
      </c>
      <c r="Z513" s="26">
        <f>Table1[[#This Row],[Macaulay Duration in Years]]/(1+Table1[[#This Row],[IRR]])</f>
        <v>1.8146710182459362</v>
      </c>
      <c r="AA513" s="27">
        <f>VLOOKUP(Table1[[#This Row],[Yield Cluster]],'[1]Cluster Details'!$B$3:$C$16,2,0)</f>
        <v>7.8548801574189142E-2</v>
      </c>
      <c r="AB513" s="28">
        <f>PRICE(Table1[[#This Row],[Issue date]],Table1[[#This Row],[Maturity date]],Table1[[#This Row],[Current coupon %]],Table1[[#This Row],[Average Cluster Yield]],100,Table1[[#This Row],[Coupon Frequency2]])*Table1[[#This Row],[Face value]]/100</f>
        <v>1020.4612218677136</v>
      </c>
      <c r="AC513" s="27" t="str">
        <f>IF(Table1[[#This Row],[Ask Price]]&gt;Table1[[#This Row],[Calculated Bond Price]],"Rich","Cheap")</f>
        <v>Rich</v>
      </c>
      <c r="AD513" s="28">
        <f>PRICE(Table1[[#This Row],[Issue date]],Table1[[#This Row],[Maturity date]],Table1[[#This Row],[Current coupon %]],Table1[[#This Row],[Yield (Annualised)]]+$AE$2,100,Table1[[#This Row],[Coupon Frequency2]])*Table1[[#This Row],[Face value]]/100</f>
        <v>1040.1462135361121</v>
      </c>
      <c r="AE513" s="28">
        <f>PRICE(Table1[[#This Row],[Issue date]],Table1[[#This Row],[Maturity date]],Table1[[#This Row],[Current coupon %]],Table1[[#This Row],[Yield (Annualised)]]-$AE$2,100,Table1[[#This Row],[Coupon Frequency2]])*Table1[[#This Row],[Face value]]/100</f>
        <v>1078.591301901107</v>
      </c>
      <c r="AF513" s="28">
        <f>(Table1[[#This Row],[P (+ shock)]]+Table1[[#This Row],[P (-shock)]]-2*Table1[[#This Row],[Ask Price]])/(2*Table1[[#This Row],[Ask Price]]*($AE$2^2))</f>
        <v>2.5376047456309787</v>
      </c>
    </row>
    <row r="514" spans="1:32" x14ac:dyDescent="0.25">
      <c r="A514" s="21" t="s">
        <v>1074</v>
      </c>
      <c r="B514" s="3" t="s">
        <v>1075</v>
      </c>
      <c r="C514" s="3" t="s">
        <v>19</v>
      </c>
      <c r="D514" s="4">
        <v>45233</v>
      </c>
      <c r="E514" s="4">
        <v>46329</v>
      </c>
      <c r="F514" s="3">
        <v>1000</v>
      </c>
      <c r="G514" s="3" t="s">
        <v>20</v>
      </c>
      <c r="H514" s="3">
        <v>1065</v>
      </c>
      <c r="I514" s="3" t="s">
        <v>20</v>
      </c>
      <c r="J514" s="3">
        <v>106.5</v>
      </c>
      <c r="K514" s="3">
        <v>30</v>
      </c>
      <c r="L514" s="5">
        <v>9.0500000000000011E-2</v>
      </c>
      <c r="M514" s="3" t="s">
        <v>21</v>
      </c>
      <c r="N514" s="3">
        <v>412</v>
      </c>
      <c r="O514" s="6">
        <f>Table1[[#This Row],[Current coupon %]]*Table1[[#This Row],[Face value]]/Table1[[#This Row],[Ask Price]]</f>
        <v>8.497652582159626E-2</v>
      </c>
      <c r="P514" s="3"/>
      <c r="Q514" s="3" t="s">
        <v>22</v>
      </c>
      <c r="R514">
        <f t="shared" si="7"/>
        <v>3</v>
      </c>
      <c r="S514" s="22" cm="1">
        <f t="array" ref="S514">_xlfn.IFS(Table1[[#This Row],[Coupon frequency]]="Semi-annual",2,Table1[[#This Row],[Coupon frequency]]="Quarterly",4,Table1[[#This Row],[Coupon frequency]]="Annual",1,Table1[[#This Row],[Coupon frequency]]="Every 4 months",3,Table1[[#This Row],[Coupon frequency]]="Monthly",12)</f>
        <v>1</v>
      </c>
      <c r="T514">
        <f>Table1[[#This Row],[Term to Maturity (Years)]]*Table1[[#This Row],[Coupon Frequency2]]</f>
        <v>3</v>
      </c>
      <c r="U514">
        <f>Table1[[#This Row],[Face value]]*Table1[[#This Row],[Current coupon %]]/Table1[[#This Row],[Coupon Frequency2]]</f>
        <v>90.500000000000014</v>
      </c>
      <c r="V514" s="23">
        <f>RATE(Table1[[#This Row],[Total No. of Coupons]],Table1[[#This Row],[Coupon Amount]],-Table1[[#This Row],[Ask Price]],Table1[[#This Row],[Face value]])</f>
        <v>6.5916226235477229E-2</v>
      </c>
      <c r="W514" s="24">
        <f>Table1[[#This Row],[IRR]]*Table1[[#This Row],[Coupon Frequency2]]</f>
        <v>6.5916226235477229E-2</v>
      </c>
      <c r="X514" s="25" cm="1">
        <f t="array" ref="X5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4" s="26">
        <f>DURATION(Table1[[#This Row],[Issue date]],Table1[[#This Row],[Maturity date]],Table1[[#This Row],[Current coupon %]],Table1[[#This Row],[Yield (Annualised)]],Table1[[#This Row],[Coupon Frequency2]])</f>
        <v>2.7657652396969548</v>
      </c>
      <c r="Z514" s="26">
        <f>Table1[[#This Row],[Macaulay Duration in Years]]/(1+Table1[[#This Row],[IRR]])</f>
        <v>2.594730403405975</v>
      </c>
      <c r="AA514" s="27">
        <f>VLOOKUP(Table1[[#This Row],[Yield Cluster]],'[1]Cluster Details'!$B$3:$C$16,2,0)</f>
        <v>7.8548801574189142E-2</v>
      </c>
      <c r="AB514" s="28">
        <f>PRICE(Table1[[#This Row],[Issue date]],Table1[[#This Row],[Maturity date]],Table1[[#This Row],[Current coupon %]],Table1[[#This Row],[Average Cluster Yield]],100,Table1[[#This Row],[Coupon Frequency2]])*Table1[[#This Row],[Face value]]/100</f>
        <v>1030.8802252374862</v>
      </c>
      <c r="AC514" s="27" t="str">
        <f>IF(Table1[[#This Row],[Ask Price]]&gt;Table1[[#This Row],[Calculated Bond Price]],"Rich","Cheap")</f>
        <v>Rich</v>
      </c>
      <c r="AD514" s="28">
        <f>PRICE(Table1[[#This Row],[Issue date]],Table1[[#This Row],[Maturity date]],Table1[[#This Row],[Current coupon %]],Table1[[#This Row],[Yield (Annualised)]]+$AE$2,100,Table1[[#This Row],[Coupon Frequency2]])*Table1[[#This Row],[Face value]]/100</f>
        <v>1037.8624765407162</v>
      </c>
      <c r="AE514" s="28">
        <f>PRICE(Table1[[#This Row],[Issue date]],Table1[[#This Row],[Maturity date]],Table1[[#This Row],[Current coupon %]],Table1[[#This Row],[Yield (Annualised)]]-$AE$2,100,Table1[[#This Row],[Coupon Frequency2]])*Table1[[#This Row],[Face value]]/100</f>
        <v>1093.1457735568031</v>
      </c>
      <c r="AF514" s="28">
        <f>(Table1[[#This Row],[P (+ shock)]]+Table1[[#This Row],[P (-shock)]]-2*Table1[[#This Row],[Ask Price]])/(2*Table1[[#This Row],[Ask Price]]*($AE$2^2))</f>
        <v>4.7335685329555002</v>
      </c>
    </row>
    <row r="515" spans="1:32" x14ac:dyDescent="0.25">
      <c r="A515" s="21" t="s">
        <v>1076</v>
      </c>
      <c r="B515" s="3" t="s">
        <v>1077</v>
      </c>
      <c r="C515" s="3" t="s">
        <v>19</v>
      </c>
      <c r="D515" s="4">
        <v>43612</v>
      </c>
      <c r="E515" s="4">
        <v>47263</v>
      </c>
      <c r="F515" s="3">
        <v>1000000</v>
      </c>
      <c r="G515" s="3" t="s">
        <v>20</v>
      </c>
      <c r="H515" s="3">
        <v>1042341</v>
      </c>
      <c r="I515" s="3" t="s">
        <v>20</v>
      </c>
      <c r="J515" s="3">
        <v>104.2341</v>
      </c>
      <c r="K515" s="3">
        <v>5</v>
      </c>
      <c r="L515" s="5">
        <v>8.8499999999999995E-2</v>
      </c>
      <c r="M515" s="3" t="s">
        <v>21</v>
      </c>
      <c r="N515" s="3">
        <v>1346</v>
      </c>
      <c r="O515" s="6">
        <f>Table1[[#This Row],[Current coupon %]]*Table1[[#This Row],[Face value]]/Table1[[#This Row],[Ask Price]]</f>
        <v>8.4905035875975324E-2</v>
      </c>
      <c r="P515" s="3" t="s">
        <v>54</v>
      </c>
      <c r="Q515" s="3" t="s">
        <v>22</v>
      </c>
      <c r="R515">
        <f t="shared" si="7"/>
        <v>10</v>
      </c>
      <c r="S515" s="22" cm="1">
        <f t="array" ref="S515">_xlfn.IFS(Table1[[#This Row],[Coupon frequency]]="Semi-annual",2,Table1[[#This Row],[Coupon frequency]]="Quarterly",4,Table1[[#This Row],[Coupon frequency]]="Annual",1,Table1[[#This Row],[Coupon frequency]]="Every 4 months",3,Table1[[#This Row],[Coupon frequency]]="Monthly",12)</f>
        <v>1</v>
      </c>
      <c r="T515">
        <f>Table1[[#This Row],[Term to Maturity (Years)]]*Table1[[#This Row],[Coupon Frequency2]]</f>
        <v>10</v>
      </c>
      <c r="U515">
        <f>Table1[[#This Row],[Face value]]*Table1[[#This Row],[Current coupon %]]/Table1[[#This Row],[Coupon Frequency2]]</f>
        <v>88500</v>
      </c>
      <c r="V515" s="23">
        <f>RATE(Table1[[#This Row],[Total No. of Coupons]],Table1[[#This Row],[Coupon Amount]],-Table1[[#This Row],[Ask Price]],Table1[[#This Row],[Face value]])</f>
        <v>8.2129209436319531E-2</v>
      </c>
      <c r="W515" s="24">
        <f>Table1[[#This Row],[IRR]]*Table1[[#This Row],[Coupon Frequency2]]</f>
        <v>8.2129209436319531E-2</v>
      </c>
      <c r="X515" s="25" cm="1">
        <f t="array" ref="X5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5" s="26">
        <f>DURATION(Table1[[#This Row],[Issue date]],Table1[[#This Row],[Maturity date]],Table1[[#This Row],[Current coupon %]],Table1[[#This Row],[Yield (Annualised)]],Table1[[#This Row],[Coupon Frequency2]])</f>
        <v>7.0914913340856183</v>
      </c>
      <c r="Z515" s="26">
        <f>Table1[[#This Row],[Macaulay Duration in Years]]/(1+Table1[[#This Row],[IRR]])</f>
        <v>6.5532759602520771</v>
      </c>
      <c r="AA515" s="27">
        <f>VLOOKUP(Table1[[#This Row],[Yield Cluster]],'[1]Cluster Details'!$B$3:$C$16,2,0)</f>
        <v>7.8548801574189142E-2</v>
      </c>
      <c r="AB515" s="28">
        <f>PRICE(Table1[[#This Row],[Issue date]],Table1[[#This Row],[Maturity date]],Table1[[#This Row],[Current coupon %]],Table1[[#This Row],[Average Cluster Yield]],100,Table1[[#This Row],[Coupon Frequency2]])*Table1[[#This Row],[Face value]]/100</f>
        <v>1067169.3932592217</v>
      </c>
      <c r="AC515" s="27" t="str">
        <f>IF(Table1[[#This Row],[Ask Price]]&gt;Table1[[#This Row],[Calculated Bond Price]],"Rich","Cheap")</f>
        <v>Cheap</v>
      </c>
      <c r="AD515" s="28">
        <f>PRICE(Table1[[#This Row],[Issue date]],Table1[[#This Row],[Maturity date]],Table1[[#This Row],[Current coupon %]],Table1[[#This Row],[Yield (Annualised)]]+$AE$2,100,Table1[[#This Row],[Coupon Frequency2]])*Table1[[#This Row],[Face value]]/100</f>
        <v>976912.43903552066</v>
      </c>
      <c r="AE515" s="28">
        <f>PRICE(Table1[[#This Row],[Issue date]],Table1[[#This Row],[Maturity date]],Table1[[#This Row],[Current coupon %]],Table1[[#This Row],[Yield (Annualised)]]-$AE$2,100,Table1[[#This Row],[Coupon Frequency2]])*Table1[[#This Row],[Face value]]/100</f>
        <v>1113797.7778705815</v>
      </c>
      <c r="AF515" s="28">
        <f>(Table1[[#This Row],[P (+ shock)]]+Table1[[#This Row],[P (-shock)]]-2*Table1[[#This Row],[Ask Price]])/(2*Table1[[#This Row],[Ask Price]]*($AE$2^2))</f>
        <v>28.916721620382109</v>
      </c>
    </row>
    <row r="516" spans="1:32" x14ac:dyDescent="0.25">
      <c r="A516" s="21" t="s">
        <v>1078</v>
      </c>
      <c r="B516" s="3" t="s">
        <v>1079</v>
      </c>
      <c r="C516" s="3" t="s">
        <v>19</v>
      </c>
      <c r="D516" s="4">
        <v>43703</v>
      </c>
      <c r="E516" s="4">
        <v>46625</v>
      </c>
      <c r="F516" s="3">
        <v>1000</v>
      </c>
      <c r="G516" s="3" t="s">
        <v>20</v>
      </c>
      <c r="H516" s="3">
        <v>1021</v>
      </c>
      <c r="I516" s="3" t="s">
        <v>20</v>
      </c>
      <c r="J516" s="3">
        <v>102.1</v>
      </c>
      <c r="K516" s="3">
        <v>67</v>
      </c>
      <c r="L516" s="5">
        <v>8.6500000000000007E-2</v>
      </c>
      <c r="M516" s="3" t="s">
        <v>21</v>
      </c>
      <c r="N516" s="3">
        <v>708</v>
      </c>
      <c r="O516" s="6">
        <f>Table1[[#This Row],[Current coupon %]]*Table1[[#This Row],[Face value]]/Table1[[#This Row],[Ask Price]]</f>
        <v>8.4720861900097963E-2</v>
      </c>
      <c r="P516" s="3"/>
      <c r="Q516" s="3" t="s">
        <v>22</v>
      </c>
      <c r="R516">
        <f t="shared" ref="R516:R579" si="8">ROUND(YEARFRAC(D516,E516),0)</f>
        <v>8</v>
      </c>
      <c r="S516" s="22" cm="1">
        <f t="array" ref="S516">_xlfn.IFS(Table1[[#This Row],[Coupon frequency]]="Semi-annual",2,Table1[[#This Row],[Coupon frequency]]="Quarterly",4,Table1[[#This Row],[Coupon frequency]]="Annual",1,Table1[[#This Row],[Coupon frequency]]="Every 4 months",3,Table1[[#This Row],[Coupon frequency]]="Monthly",12)</f>
        <v>1</v>
      </c>
      <c r="T516">
        <f>Table1[[#This Row],[Term to Maturity (Years)]]*Table1[[#This Row],[Coupon Frequency2]]</f>
        <v>8</v>
      </c>
      <c r="U516">
        <f>Table1[[#This Row],[Face value]]*Table1[[#This Row],[Current coupon %]]/Table1[[#This Row],[Coupon Frequency2]]</f>
        <v>86.500000000000014</v>
      </c>
      <c r="V516" s="23">
        <f>RATE(Table1[[#This Row],[Total No. of Coupons]],Table1[[#This Row],[Coupon Amount]],-Table1[[#This Row],[Ask Price]],Table1[[#This Row],[Face value]])</f>
        <v>8.2806674535624278E-2</v>
      </c>
      <c r="W516" s="24">
        <f>Table1[[#This Row],[IRR]]*Table1[[#This Row],[Coupon Frequency2]]</f>
        <v>8.2806674535624278E-2</v>
      </c>
      <c r="X516" s="25" cm="1">
        <f t="array" ref="X5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6" s="26">
        <f>DURATION(Table1[[#This Row],[Issue date]],Table1[[#This Row],[Maturity date]],Table1[[#This Row],[Current coupon %]],Table1[[#This Row],[Yield (Annualised)]],Table1[[#This Row],[Coupon Frequency2]])</f>
        <v>6.114157040271202</v>
      </c>
      <c r="Z516" s="26">
        <f>Table1[[#This Row],[Macaulay Duration in Years]]/(1+Table1[[#This Row],[IRR]])</f>
        <v>5.6465823346474462</v>
      </c>
      <c r="AA516" s="27">
        <f>VLOOKUP(Table1[[#This Row],[Yield Cluster]],'[1]Cluster Details'!$B$3:$C$16,2,0)</f>
        <v>7.8548801574189142E-2</v>
      </c>
      <c r="AB516" s="28">
        <f>PRICE(Table1[[#This Row],[Issue date]],Table1[[#This Row],[Maturity date]],Table1[[#This Row],[Current coupon %]],Table1[[#This Row],[Average Cluster Yield]],100,Table1[[#This Row],[Coupon Frequency2]])*Table1[[#This Row],[Face value]]/100</f>
        <v>1045.9453832844019</v>
      </c>
      <c r="AC516" s="27" t="str">
        <f>IF(Table1[[#This Row],[Ask Price]]&gt;Table1[[#This Row],[Calculated Bond Price]],"Rich","Cheap")</f>
        <v>Cheap</v>
      </c>
      <c r="AD516" s="28">
        <f>PRICE(Table1[[#This Row],[Issue date]],Table1[[#This Row],[Maturity date]],Table1[[#This Row],[Current coupon %]],Table1[[#This Row],[Yield (Annualised)]]+$AE$2,100,Table1[[#This Row],[Coupon Frequency2]])*Table1[[#This Row],[Face value]]/100</f>
        <v>965.45488045193053</v>
      </c>
      <c r="AE516" s="28">
        <f>PRICE(Table1[[#This Row],[Issue date]],Table1[[#This Row],[Maturity date]],Table1[[#This Row],[Current coupon %]],Table1[[#This Row],[Yield (Annualised)]]-$AE$2,100,Table1[[#This Row],[Coupon Frequency2]])*Table1[[#This Row],[Face value]]/100</f>
        <v>1080.8849912621249</v>
      </c>
      <c r="AF516" s="28">
        <f>(Table1[[#This Row],[P (+ shock)]]+Table1[[#This Row],[P (-shock)]]-2*Table1[[#This Row],[Ask Price]])/(2*Table1[[#This Row],[Ask Price]]*($AE$2^2))</f>
        <v>21.253044632984007</v>
      </c>
    </row>
    <row r="517" spans="1:32" x14ac:dyDescent="0.25">
      <c r="A517" s="21" t="s">
        <v>1080</v>
      </c>
      <c r="B517" s="3" t="s">
        <v>1081</v>
      </c>
      <c r="C517" s="3" t="s">
        <v>19</v>
      </c>
      <c r="D517" s="4">
        <v>40889</v>
      </c>
      <c r="E517" s="4">
        <v>46368</v>
      </c>
      <c r="F517" s="3">
        <v>5000</v>
      </c>
      <c r="G517" s="3" t="s">
        <v>20</v>
      </c>
      <c r="H517" s="3">
        <v>5166.01</v>
      </c>
      <c r="I517" s="3" t="s">
        <v>20</v>
      </c>
      <c r="J517" s="3">
        <v>103.3202</v>
      </c>
      <c r="K517" s="3">
        <v>4</v>
      </c>
      <c r="L517" s="5">
        <v>8.7499999999999994E-2</v>
      </c>
      <c r="M517" s="3" t="s">
        <v>21</v>
      </c>
      <c r="N517" s="3">
        <v>451</v>
      </c>
      <c r="O517" s="6">
        <f>Table1[[#This Row],[Current coupon %]]*Table1[[#This Row],[Face value]]/Table1[[#This Row],[Ask Price]]</f>
        <v>8.4688182949703927E-2</v>
      </c>
      <c r="P517" s="3"/>
      <c r="Q517" s="3" t="s">
        <v>22</v>
      </c>
      <c r="R517">
        <f t="shared" si="8"/>
        <v>15</v>
      </c>
      <c r="S517" s="22" cm="1">
        <f t="array" ref="S517">_xlfn.IFS(Table1[[#This Row],[Coupon frequency]]="Semi-annual",2,Table1[[#This Row],[Coupon frequency]]="Quarterly",4,Table1[[#This Row],[Coupon frequency]]="Annual",1,Table1[[#This Row],[Coupon frequency]]="Every 4 months",3,Table1[[#This Row],[Coupon frequency]]="Monthly",12)</f>
        <v>1</v>
      </c>
      <c r="T517">
        <f>Table1[[#This Row],[Term to Maturity (Years)]]*Table1[[#This Row],[Coupon Frequency2]]</f>
        <v>15</v>
      </c>
      <c r="U517">
        <f>Table1[[#This Row],[Face value]]*Table1[[#This Row],[Current coupon %]]/Table1[[#This Row],[Coupon Frequency2]]</f>
        <v>437.5</v>
      </c>
      <c r="V517" s="23">
        <f>RATE(Table1[[#This Row],[Total No. of Coupons]],Table1[[#This Row],[Coupon Amount]],-Table1[[#This Row],[Ask Price]],Table1[[#This Row],[Face value]])</f>
        <v>8.3536853628699267E-2</v>
      </c>
      <c r="W517" s="24">
        <f>Table1[[#This Row],[IRR]]*Table1[[#This Row],[Coupon Frequency2]]</f>
        <v>8.3536853628699267E-2</v>
      </c>
      <c r="X517" s="25" cm="1">
        <f t="array" ref="X5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7" s="26">
        <f>DURATION(Table1[[#This Row],[Issue date]],Table1[[#This Row],[Maturity date]],Table1[[#This Row],[Current coupon %]],Table1[[#This Row],[Yield (Annualised)]],Table1[[#This Row],[Coupon Frequency2]])</f>
        <v>8.9959074823489935</v>
      </c>
      <c r="Z517" s="26">
        <f>Table1[[#This Row],[Macaulay Duration in Years]]/(1+Table1[[#This Row],[IRR]])</f>
        <v>8.3023548781218128</v>
      </c>
      <c r="AA517" s="27">
        <f>VLOOKUP(Table1[[#This Row],[Yield Cluster]],'[1]Cluster Details'!$B$3:$C$16,2,0)</f>
        <v>7.8548801574189142E-2</v>
      </c>
      <c r="AB517" s="28">
        <f>PRICE(Table1[[#This Row],[Issue date]],Table1[[#This Row],[Maturity date]],Table1[[#This Row],[Current coupon %]],Table1[[#This Row],[Average Cluster Yield]],100,Table1[[#This Row],[Coupon Frequency2]])*Table1[[#This Row],[Face value]]/100</f>
        <v>5386.5059989044958</v>
      </c>
      <c r="AC517" s="27" t="str">
        <f>IF(Table1[[#This Row],[Ask Price]]&gt;Table1[[#This Row],[Calculated Bond Price]],"Rich","Cheap")</f>
        <v>Cheap</v>
      </c>
      <c r="AD517" s="28">
        <f>PRICE(Table1[[#This Row],[Issue date]],Table1[[#This Row],[Maturity date]],Table1[[#This Row],[Current coupon %]],Table1[[#This Row],[Yield (Annualised)]]+$AE$2,100,Table1[[#This Row],[Coupon Frequency2]])*Table1[[#This Row],[Face value]]/100</f>
        <v>4761.6918746995625</v>
      </c>
      <c r="AE517" s="28">
        <f>PRICE(Table1[[#This Row],[Issue date]],Table1[[#This Row],[Maturity date]],Table1[[#This Row],[Current coupon %]],Table1[[#This Row],[Yield (Annualised)]]-$AE$2,100,Table1[[#This Row],[Coupon Frequency2]])*Table1[[#This Row],[Face value]]/100</f>
        <v>5621.9110039699872</v>
      </c>
      <c r="AF517" s="28">
        <f>(Table1[[#This Row],[P (+ shock)]]+Table1[[#This Row],[P (-shock)]]-2*Table1[[#This Row],[Ask Price]])/(2*Table1[[#This Row],[Ask Price]]*($AE$2^2))</f>
        <v>49.925260181019041</v>
      </c>
    </row>
    <row r="518" spans="1:32" x14ac:dyDescent="0.25">
      <c r="A518" s="21" t="s">
        <v>1082</v>
      </c>
      <c r="B518" s="3" t="s">
        <v>1083</v>
      </c>
      <c r="C518" s="3" t="s">
        <v>19</v>
      </c>
      <c r="D518" s="4">
        <v>45105</v>
      </c>
      <c r="E518" s="4">
        <v>46201</v>
      </c>
      <c r="F518" s="3">
        <v>1000</v>
      </c>
      <c r="G518" s="3" t="s">
        <v>20</v>
      </c>
      <c r="H518" s="3">
        <v>1004.38</v>
      </c>
      <c r="I518" s="3" t="s">
        <v>20</v>
      </c>
      <c r="J518" s="3">
        <v>100.438</v>
      </c>
      <c r="K518" s="3">
        <v>79</v>
      </c>
      <c r="L518" s="5">
        <v>8.5000000000000006E-2</v>
      </c>
      <c r="M518" s="3" t="s">
        <v>21</v>
      </c>
      <c r="N518" s="3">
        <v>284</v>
      </c>
      <c r="O518" s="6">
        <f>Table1[[#This Row],[Current coupon %]]*Table1[[#This Row],[Face value]]/Table1[[#This Row],[Ask Price]]</f>
        <v>8.4629323562794956E-2</v>
      </c>
      <c r="P518" s="3" t="s">
        <v>25</v>
      </c>
      <c r="Q518" s="3" t="s">
        <v>22</v>
      </c>
      <c r="R518">
        <f t="shared" si="8"/>
        <v>3</v>
      </c>
      <c r="S518" s="22" cm="1">
        <f t="array" ref="S518">_xlfn.IFS(Table1[[#This Row],[Coupon frequency]]="Semi-annual",2,Table1[[#This Row],[Coupon frequency]]="Quarterly",4,Table1[[#This Row],[Coupon frequency]]="Annual",1,Table1[[#This Row],[Coupon frequency]]="Every 4 months",3,Table1[[#This Row],[Coupon frequency]]="Monthly",12)</f>
        <v>1</v>
      </c>
      <c r="T518">
        <f>Table1[[#This Row],[Term to Maturity (Years)]]*Table1[[#This Row],[Coupon Frequency2]]</f>
        <v>3</v>
      </c>
      <c r="U518">
        <f>Table1[[#This Row],[Face value]]*Table1[[#This Row],[Current coupon %]]/Table1[[#This Row],[Coupon Frequency2]]</f>
        <v>85</v>
      </c>
      <c r="V518" s="23">
        <f>RATE(Table1[[#This Row],[Total No. of Coupons]],Table1[[#This Row],[Coupon Amount]],-Table1[[#This Row],[Ask Price]],Table1[[#This Row],[Face value]])</f>
        <v>8.3290313411978248E-2</v>
      </c>
      <c r="W518" s="24">
        <f>Table1[[#This Row],[IRR]]*Table1[[#This Row],[Coupon Frequency2]]</f>
        <v>8.3290313411978248E-2</v>
      </c>
      <c r="X518" s="25" cm="1">
        <f t="array" ref="X5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8" s="26">
        <f>DURATION(Table1[[#This Row],[Issue date]],Table1[[#This Row],[Maturity date]],Table1[[#This Row],[Current coupon %]],Table1[[#This Row],[Yield (Annualised)]],Table1[[#This Row],[Coupon Frequency2]])</f>
        <v>2.7716391239197207</v>
      </c>
      <c r="Z518" s="26">
        <f>Table1[[#This Row],[Macaulay Duration in Years]]/(1+Table1[[#This Row],[IRR]])</f>
        <v>2.5585377157024931</v>
      </c>
      <c r="AA518" s="27">
        <f>VLOOKUP(Table1[[#This Row],[Yield Cluster]],'[1]Cluster Details'!$B$3:$C$16,2,0)</f>
        <v>7.8548801574189142E-2</v>
      </c>
      <c r="AB518" s="28">
        <f>PRICE(Table1[[#This Row],[Issue date]],Table1[[#This Row],[Maturity date]],Table1[[#This Row],[Current coupon %]],Table1[[#This Row],[Average Cluster Yield]],100,Table1[[#This Row],[Coupon Frequency2]])*Table1[[#This Row],[Face value]]/100</f>
        <v>1016.668994467577</v>
      </c>
      <c r="AC518" s="27" t="str">
        <f>IF(Table1[[#This Row],[Ask Price]]&gt;Table1[[#This Row],[Calculated Bond Price]],"Rich","Cheap")</f>
        <v>Cheap</v>
      </c>
      <c r="AD518" s="28">
        <f>PRICE(Table1[[#This Row],[Issue date]],Table1[[#This Row],[Maturity date]],Table1[[#This Row],[Current coupon %]],Table1[[#This Row],[Yield (Annualised)]]+$AE$2,100,Table1[[#This Row],[Coupon Frequency2]])*Table1[[#This Row],[Face value]]/100</f>
        <v>979.13722519352609</v>
      </c>
      <c r="AE518" s="28">
        <f>PRICE(Table1[[#This Row],[Issue date]],Table1[[#This Row],[Maturity date]],Table1[[#This Row],[Current coupon %]],Table1[[#This Row],[Yield (Annualised)]]-$AE$2,100,Table1[[#This Row],[Coupon Frequency2]])*Table1[[#This Row],[Face value]]/100</f>
        <v>1030.5461164962987</v>
      </c>
      <c r="AF518" s="28">
        <f>(Table1[[#This Row],[P (+ shock)]]+Table1[[#This Row],[P (-shock)]]-2*Table1[[#This Row],[Ask Price]])/(2*Table1[[#This Row],[Ask Price]]*($AE$2^2))</f>
        <v>4.5965754486590624</v>
      </c>
    </row>
    <row r="519" spans="1:32" x14ac:dyDescent="0.25">
      <c r="A519" s="21" t="s">
        <v>1084</v>
      </c>
      <c r="B519" s="3" t="s">
        <v>1085</v>
      </c>
      <c r="C519" s="3" t="s">
        <v>19</v>
      </c>
      <c r="D519" s="4">
        <v>42520</v>
      </c>
      <c r="E519" s="4">
        <v>46171</v>
      </c>
      <c r="F519" s="3">
        <v>1000000</v>
      </c>
      <c r="G519" s="3" t="s">
        <v>20</v>
      </c>
      <c r="H519" s="3">
        <v>1077996.5</v>
      </c>
      <c r="I519" s="3" t="s">
        <v>20</v>
      </c>
      <c r="J519" s="3">
        <v>107.79965</v>
      </c>
      <c r="K519" s="3">
        <v>1</v>
      </c>
      <c r="L519" s="5">
        <v>9.0999999999999998E-2</v>
      </c>
      <c r="M519" s="3" t="s">
        <v>21</v>
      </c>
      <c r="N519" s="3">
        <v>254</v>
      </c>
      <c r="O519" s="6">
        <f>Table1[[#This Row],[Current coupon %]]*Table1[[#This Row],[Face value]]/Table1[[#This Row],[Ask Price]]</f>
        <v>8.4415858493047058E-2</v>
      </c>
      <c r="P519" s="3"/>
      <c r="Q519" s="3" t="s">
        <v>22</v>
      </c>
      <c r="R519">
        <f t="shared" si="8"/>
        <v>10</v>
      </c>
      <c r="S519" s="22" cm="1">
        <f t="array" ref="S519">_xlfn.IFS(Table1[[#This Row],[Coupon frequency]]="Semi-annual",2,Table1[[#This Row],[Coupon frequency]]="Quarterly",4,Table1[[#This Row],[Coupon frequency]]="Annual",1,Table1[[#This Row],[Coupon frequency]]="Every 4 months",3,Table1[[#This Row],[Coupon frequency]]="Monthly",12)</f>
        <v>1</v>
      </c>
      <c r="T519">
        <f>Table1[[#This Row],[Term to Maturity (Years)]]*Table1[[#This Row],[Coupon Frequency2]]</f>
        <v>10</v>
      </c>
      <c r="U519">
        <f>Table1[[#This Row],[Face value]]*Table1[[#This Row],[Current coupon %]]/Table1[[#This Row],[Coupon Frequency2]]</f>
        <v>91000</v>
      </c>
      <c r="V519" s="23">
        <f>RATE(Table1[[#This Row],[Total No. of Coupons]],Table1[[#This Row],[Coupon Amount]],-Table1[[#This Row],[Ask Price]],Table1[[#This Row],[Face value]])</f>
        <v>7.9407278160267186E-2</v>
      </c>
      <c r="W519" s="24">
        <f>Table1[[#This Row],[IRR]]*Table1[[#This Row],[Coupon Frequency2]]</f>
        <v>7.9407278160267186E-2</v>
      </c>
      <c r="X519" s="25" cm="1">
        <f t="array" ref="X5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19" s="26">
        <f>DURATION(Table1[[#This Row],[Issue date]],Table1[[#This Row],[Maturity date]],Table1[[#This Row],[Current coupon %]],Table1[[#This Row],[Yield (Annualised)]],Table1[[#This Row],[Coupon Frequency2]])</f>
        <v>7.0868581761956957</v>
      </c>
      <c r="Z519" s="26">
        <f>Table1[[#This Row],[Macaulay Duration in Years]]/(1+Table1[[#This Row],[IRR]])</f>
        <v>6.5655089784779639</v>
      </c>
      <c r="AA519" s="27">
        <f>VLOOKUP(Table1[[#This Row],[Yield Cluster]],'[1]Cluster Details'!$B$3:$C$16,2,0)</f>
        <v>7.8548801574189142E-2</v>
      </c>
      <c r="AB519" s="28">
        <f>PRICE(Table1[[#This Row],[Issue date]],Table1[[#This Row],[Maturity date]],Table1[[#This Row],[Current coupon %]],Table1[[#This Row],[Average Cluster Yield]],100,Table1[[#This Row],[Coupon Frequency2]])*Table1[[#This Row],[Face value]]/100</f>
        <v>1084073.1592032113</v>
      </c>
      <c r="AC519" s="27" t="str">
        <f>IF(Table1[[#This Row],[Ask Price]]&gt;Table1[[#This Row],[Calculated Bond Price]],"Rich","Cheap")</f>
        <v>Cheap</v>
      </c>
      <c r="AD519" s="28">
        <f>PRICE(Table1[[#This Row],[Issue date]],Table1[[#This Row],[Maturity date]],Table1[[#This Row],[Current coupon %]],Table1[[#This Row],[Yield (Annualised)]]+$AE$2,100,Table1[[#This Row],[Coupon Frequency2]])*Table1[[#This Row],[Face value]]/100</f>
        <v>1010235.8252417494</v>
      </c>
      <c r="AE519" s="28">
        <f>PRICE(Table1[[#This Row],[Issue date]],Table1[[#This Row],[Maturity date]],Table1[[#This Row],[Current coupon %]],Table1[[#This Row],[Yield (Annualised)]]-$AE$2,100,Table1[[#This Row],[Coupon Frequency2]])*Table1[[#This Row],[Face value]]/100</f>
        <v>1152036.6282117695</v>
      </c>
      <c r="AF519" s="28">
        <f>(Table1[[#This Row],[P (+ shock)]]+Table1[[#This Row],[P (-shock)]]-2*Table1[[#This Row],[Ask Price]])/(2*Table1[[#This Row],[Ask Price]]*($AE$2^2))</f>
        <v>29.125574403622441</v>
      </c>
    </row>
    <row r="520" spans="1:32" x14ac:dyDescent="0.25">
      <c r="A520" s="21" t="s">
        <v>1086</v>
      </c>
      <c r="B520" s="3" t="s">
        <v>1087</v>
      </c>
      <c r="C520" s="3" t="s">
        <v>19</v>
      </c>
      <c r="D520" s="4">
        <v>44950</v>
      </c>
      <c r="E520" s="4">
        <v>46046</v>
      </c>
      <c r="F520" s="3">
        <v>1000</v>
      </c>
      <c r="G520" s="3" t="s">
        <v>20</v>
      </c>
      <c r="H520" s="3">
        <v>1041.2</v>
      </c>
      <c r="I520" s="3" t="s">
        <v>20</v>
      </c>
      <c r="J520" s="3">
        <v>104.12</v>
      </c>
      <c r="K520" s="3">
        <v>104</v>
      </c>
      <c r="L520" s="5">
        <v>8.7499999999999994E-2</v>
      </c>
      <c r="M520" s="3" t="s">
        <v>21</v>
      </c>
      <c r="N520" s="3">
        <v>129</v>
      </c>
      <c r="O520" s="6">
        <f>Table1[[#This Row],[Current coupon %]]*Table1[[#This Row],[Face value]]/Table1[[#This Row],[Ask Price]]</f>
        <v>8.403764886669228E-2</v>
      </c>
      <c r="P520" s="3" t="s">
        <v>25</v>
      </c>
      <c r="Q520" s="3" t="s">
        <v>22</v>
      </c>
      <c r="R520">
        <f t="shared" si="8"/>
        <v>3</v>
      </c>
      <c r="S520" s="22" cm="1">
        <f t="array" ref="S520">_xlfn.IFS(Table1[[#This Row],[Coupon frequency]]="Semi-annual",2,Table1[[#This Row],[Coupon frequency]]="Quarterly",4,Table1[[#This Row],[Coupon frequency]]="Annual",1,Table1[[#This Row],[Coupon frequency]]="Every 4 months",3,Table1[[#This Row],[Coupon frequency]]="Monthly",12)</f>
        <v>1</v>
      </c>
      <c r="T520">
        <f>Table1[[#This Row],[Term to Maturity (Years)]]*Table1[[#This Row],[Coupon Frequency2]]</f>
        <v>3</v>
      </c>
      <c r="U520">
        <f>Table1[[#This Row],[Face value]]*Table1[[#This Row],[Current coupon %]]/Table1[[#This Row],[Coupon Frequency2]]</f>
        <v>87.5</v>
      </c>
      <c r="V520" s="23">
        <f>RATE(Table1[[#This Row],[Total No. of Coupons]],Table1[[#This Row],[Coupon Amount]],-Table1[[#This Row],[Ask Price]],Table1[[#This Row],[Face value]])</f>
        <v>7.175043792132875E-2</v>
      </c>
      <c r="W520" s="24">
        <f>Table1[[#This Row],[IRR]]*Table1[[#This Row],[Coupon Frequency2]]</f>
        <v>7.175043792132875E-2</v>
      </c>
      <c r="X520" s="25" cm="1">
        <f t="array" ref="X5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0" s="26">
        <f>DURATION(Table1[[#This Row],[Issue date]],Table1[[#This Row],[Maturity date]],Table1[[#This Row],[Current coupon %]],Table1[[#This Row],[Yield (Annualised)]],Table1[[#This Row],[Coupon Frequency2]])</f>
        <v>2.7700146671924788</v>
      </c>
      <c r="Z520" s="26">
        <f>Table1[[#This Row],[Macaulay Duration in Years]]/(1+Table1[[#This Row],[IRR]])</f>
        <v>2.5845705951517512</v>
      </c>
      <c r="AA520" s="27">
        <f>VLOOKUP(Table1[[#This Row],[Yield Cluster]],'[1]Cluster Details'!$B$3:$C$16,2,0)</f>
        <v>7.8548801574189142E-2</v>
      </c>
      <c r="AB520" s="28">
        <f>PRICE(Table1[[#This Row],[Issue date]],Table1[[#This Row],[Maturity date]],Table1[[#This Row],[Current coupon %]],Table1[[#This Row],[Average Cluster Yield]],100,Table1[[#This Row],[Coupon Frequency2]])*Table1[[#This Row],[Face value]]/100</f>
        <v>1023.1286448175357</v>
      </c>
      <c r="AC520" s="27" t="str">
        <f>IF(Table1[[#This Row],[Ask Price]]&gt;Table1[[#This Row],[Calculated Bond Price]],"Rich","Cheap")</f>
        <v>Rich</v>
      </c>
      <c r="AD520" s="28">
        <f>PRICE(Table1[[#This Row],[Issue date]],Table1[[#This Row],[Maturity date]],Table1[[#This Row],[Current coupon %]],Table1[[#This Row],[Yield (Annualised)]]+$AE$2,100,Table1[[#This Row],[Coupon Frequency2]])*Table1[[#This Row],[Face value]]/100</f>
        <v>1014.7705038765856</v>
      </c>
      <c r="AE520" s="28">
        <f>PRICE(Table1[[#This Row],[Issue date]],Table1[[#This Row],[Maturity date]],Table1[[#This Row],[Current coupon %]],Table1[[#This Row],[Yield (Annualised)]]-$AE$2,100,Table1[[#This Row],[Coupon Frequency2]])*Table1[[#This Row],[Face value]]/100</f>
        <v>1068.6065838131572</v>
      </c>
      <c r="AF520" s="28">
        <f>(Table1[[#This Row],[P (+ shock)]]+Table1[[#This Row],[P (-shock)]]-2*Table1[[#This Row],[Ask Price]])/(2*Table1[[#This Row],[Ask Price]]*($AE$2^2))</f>
        <v>4.6921229818613259</v>
      </c>
    </row>
    <row r="521" spans="1:32" x14ac:dyDescent="0.25">
      <c r="A521" s="21" t="s">
        <v>1088</v>
      </c>
      <c r="B521" s="3" t="s">
        <v>1089</v>
      </c>
      <c r="C521" s="3" t="s">
        <v>19</v>
      </c>
      <c r="D521" s="4">
        <v>45499</v>
      </c>
      <c r="E521" s="4">
        <v>47325</v>
      </c>
      <c r="F521" s="3">
        <v>100000</v>
      </c>
      <c r="G521" s="3" t="s">
        <v>20</v>
      </c>
      <c r="H521" s="3">
        <v>101775.21</v>
      </c>
      <c r="I521" s="3" t="s">
        <v>20</v>
      </c>
      <c r="J521" s="3">
        <v>101.77521</v>
      </c>
      <c r="K521" s="3">
        <v>20</v>
      </c>
      <c r="L521" s="5">
        <v>8.5500000000000007E-2</v>
      </c>
      <c r="M521" s="3" t="s">
        <v>21</v>
      </c>
      <c r="N521" s="3">
        <v>1408</v>
      </c>
      <c r="O521" s="6">
        <f>Table1[[#This Row],[Current coupon %]]*Table1[[#This Row],[Face value]]/Table1[[#This Row],[Ask Price]]</f>
        <v>8.400866969471249E-2</v>
      </c>
      <c r="P521" s="3"/>
      <c r="Q521" s="3" t="s">
        <v>22</v>
      </c>
      <c r="R521">
        <f t="shared" si="8"/>
        <v>5</v>
      </c>
      <c r="S521" s="22" cm="1">
        <f t="array" ref="S521">_xlfn.IFS(Table1[[#This Row],[Coupon frequency]]="Semi-annual",2,Table1[[#This Row],[Coupon frequency]]="Quarterly",4,Table1[[#This Row],[Coupon frequency]]="Annual",1,Table1[[#This Row],[Coupon frequency]]="Every 4 months",3,Table1[[#This Row],[Coupon frequency]]="Monthly",12)</f>
        <v>1</v>
      </c>
      <c r="T521">
        <f>Table1[[#This Row],[Term to Maturity (Years)]]*Table1[[#This Row],[Coupon Frequency2]]</f>
        <v>5</v>
      </c>
      <c r="U521">
        <f>Table1[[#This Row],[Face value]]*Table1[[#This Row],[Current coupon %]]/Table1[[#This Row],[Coupon Frequency2]]</f>
        <v>8550</v>
      </c>
      <c r="V521" s="23">
        <f>RATE(Table1[[#This Row],[Total No. of Coupons]],Table1[[#This Row],[Coupon Amount]],-Table1[[#This Row],[Ask Price]],Table1[[#This Row],[Face value]])</f>
        <v>8.1041658729834543E-2</v>
      </c>
      <c r="W521" s="24">
        <f>Table1[[#This Row],[IRR]]*Table1[[#This Row],[Coupon Frequency2]]</f>
        <v>8.1041658729834543E-2</v>
      </c>
      <c r="X521" s="25" cm="1">
        <f t="array" ref="X5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1" s="26">
        <f>DURATION(Table1[[#This Row],[Issue date]],Table1[[#This Row],[Maturity date]],Table1[[#This Row],[Current coupon %]],Table1[[#This Row],[Yield (Annualised)]],Table1[[#This Row],[Coupon Frequency2]])</f>
        <v>4.2789974819295562</v>
      </c>
      <c r="Z521" s="26">
        <f>Table1[[#This Row],[Macaulay Duration in Years]]/(1+Table1[[#This Row],[IRR]])</f>
        <v>3.9582170098395157</v>
      </c>
      <c r="AA521" s="27">
        <f>VLOOKUP(Table1[[#This Row],[Yield Cluster]],'[1]Cluster Details'!$B$3:$C$16,2,0)</f>
        <v>7.8548801574189142E-2</v>
      </c>
      <c r="AB521" s="28">
        <f>PRICE(Table1[[#This Row],[Issue date]],Table1[[#This Row],[Maturity date]],Table1[[#This Row],[Current coupon %]],Table1[[#This Row],[Average Cluster Yield]],100,Table1[[#This Row],[Coupon Frequency2]])*Table1[[#This Row],[Face value]]/100</f>
        <v>102786.05988828071</v>
      </c>
      <c r="AC521" s="27" t="str">
        <f>IF(Table1[[#This Row],[Ask Price]]&gt;Table1[[#This Row],[Calculated Bond Price]],"Rich","Cheap")</f>
        <v>Cheap</v>
      </c>
      <c r="AD521" s="28">
        <f>PRICE(Table1[[#This Row],[Issue date]],Table1[[#This Row],[Maturity date]],Table1[[#This Row],[Current coupon %]],Table1[[#This Row],[Yield (Annualised)]]+$AE$2,100,Table1[[#This Row],[Coupon Frequency2]])*Table1[[#This Row],[Face value]]/100</f>
        <v>97850.301275742997</v>
      </c>
      <c r="AE521" s="28">
        <f>PRICE(Table1[[#This Row],[Issue date]],Table1[[#This Row],[Maturity date]],Table1[[#This Row],[Current coupon %]],Table1[[#This Row],[Yield (Annualised)]]-$AE$2,100,Table1[[#This Row],[Coupon Frequency2]])*Table1[[#This Row],[Face value]]/100</f>
        <v>105911.70784474321</v>
      </c>
      <c r="AF521" s="28">
        <f>(Table1[[#This Row],[P (+ shock)]]+Table1[[#This Row],[P (-shock)]]-2*Table1[[#This Row],[Ask Price]])/(2*Table1[[#This Row],[Ask Price]]*($AE$2^2))</f>
        <v>10.39492428884196</v>
      </c>
    </row>
    <row r="522" spans="1:32" x14ac:dyDescent="0.25">
      <c r="A522" s="21" t="s">
        <v>1090</v>
      </c>
      <c r="B522" s="3" t="s">
        <v>1091</v>
      </c>
      <c r="C522" s="3" t="s">
        <v>19</v>
      </c>
      <c r="D522" s="4">
        <v>42783</v>
      </c>
      <c r="E522" s="4">
        <v>46066</v>
      </c>
      <c r="F522" s="3">
        <v>1000000</v>
      </c>
      <c r="G522" s="3" t="s">
        <v>20</v>
      </c>
      <c r="H522" s="3">
        <v>1068076</v>
      </c>
      <c r="I522" s="3" t="s">
        <v>20</v>
      </c>
      <c r="J522" s="3">
        <v>106.80759999999999</v>
      </c>
      <c r="K522" s="3">
        <v>1</v>
      </c>
      <c r="L522" s="5">
        <v>8.9700000000000002E-2</v>
      </c>
      <c r="M522" s="3" t="s">
        <v>44</v>
      </c>
      <c r="N522" s="3">
        <v>149</v>
      </c>
      <c r="O522" s="6">
        <f>Table1[[#This Row],[Current coupon %]]*Table1[[#This Row],[Face value]]/Table1[[#This Row],[Ask Price]]</f>
        <v>8.3982787741696277E-2</v>
      </c>
      <c r="P522" s="3"/>
      <c r="Q522" s="3" t="s">
        <v>22</v>
      </c>
      <c r="R522">
        <f t="shared" si="8"/>
        <v>9</v>
      </c>
      <c r="S522" s="22" cm="1">
        <f t="array" ref="S522">_xlfn.IFS(Table1[[#This Row],[Coupon frequency]]="Semi-annual",2,Table1[[#This Row],[Coupon frequency]]="Quarterly",4,Table1[[#This Row],[Coupon frequency]]="Annual",1,Table1[[#This Row],[Coupon frequency]]="Every 4 months",3,Table1[[#This Row],[Coupon frequency]]="Monthly",12)</f>
        <v>4</v>
      </c>
      <c r="T522">
        <f>Table1[[#This Row],[Term to Maturity (Years)]]*Table1[[#This Row],[Coupon Frequency2]]</f>
        <v>36</v>
      </c>
      <c r="U522">
        <f>Table1[[#This Row],[Face value]]*Table1[[#This Row],[Current coupon %]]/Table1[[#This Row],[Coupon Frequency2]]</f>
        <v>22425</v>
      </c>
      <c r="V522" s="23">
        <f>RATE(Table1[[#This Row],[Total No. of Coupons]],Table1[[#This Row],[Coupon Amount]],-Table1[[#This Row],[Ask Price]],Table1[[#This Row],[Face value]])</f>
        <v>1.9764284275945142E-2</v>
      </c>
      <c r="W522" s="24">
        <f>Table1[[#This Row],[IRR]]*Table1[[#This Row],[Coupon Frequency2]]</f>
        <v>7.9057137103780567E-2</v>
      </c>
      <c r="X522" s="25" cm="1">
        <f t="array" ref="X5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2" s="26">
        <f>DURATION(Table1[[#This Row],[Issue date]],Table1[[#This Row],[Maturity date]],Table1[[#This Row],[Current coupon %]],Table1[[#This Row],[Yield (Annualised)]],Table1[[#This Row],[Coupon Frequency2]])</f>
        <v>6.357367770387663</v>
      </c>
      <c r="Z522" s="26">
        <f>Table1[[#This Row],[Macaulay Duration in Years]]/(1+Table1[[#This Row],[IRR]])</f>
        <v>6.2341541750518674</v>
      </c>
      <c r="AA522" s="27">
        <f>VLOOKUP(Table1[[#This Row],[Yield Cluster]],'[1]Cluster Details'!$B$3:$C$16,2,0)</f>
        <v>7.8548801574189142E-2</v>
      </c>
      <c r="AB522" s="28">
        <f>PRICE(Table1[[#This Row],[Issue date]],Table1[[#This Row],[Maturity date]],Table1[[#This Row],[Current coupon %]],Table1[[#This Row],[Average Cluster Yield]],100,Table1[[#This Row],[Coupon Frequency2]])*Table1[[#This Row],[Face value]]/100</f>
        <v>1071403.372098149</v>
      </c>
      <c r="AC522" s="27" t="str">
        <f>IF(Table1[[#This Row],[Ask Price]]&gt;Table1[[#This Row],[Calculated Bond Price]],"Rich","Cheap")</f>
        <v>Cheap</v>
      </c>
      <c r="AD522" s="28">
        <f>PRICE(Table1[[#This Row],[Issue date]],Table1[[#This Row],[Maturity date]],Table1[[#This Row],[Current coupon %]],Table1[[#This Row],[Yield (Annualised)]]+$AE$2,100,Table1[[#This Row],[Coupon Frequency2]])*Table1[[#This Row],[Face value]]/100</f>
        <v>1003937.7011486441</v>
      </c>
      <c r="AE522" s="28">
        <f>PRICE(Table1[[#This Row],[Issue date]],Table1[[#This Row],[Maturity date]],Table1[[#This Row],[Current coupon %]],Table1[[#This Row],[Yield (Annualised)]]-$AE$2,100,Table1[[#This Row],[Coupon Frequency2]])*Table1[[#This Row],[Face value]]/100</f>
        <v>1137378.1308263626</v>
      </c>
      <c r="AF522" s="28">
        <f>(Table1[[#This Row],[P (+ shock)]]+Table1[[#This Row],[P (-shock)]]-2*Table1[[#This Row],[Ask Price]])/(2*Table1[[#This Row],[Ask Price]]*($AE$2^2))</f>
        <v>24.173523115426701</v>
      </c>
    </row>
    <row r="523" spans="1:32" x14ac:dyDescent="0.25">
      <c r="A523" s="21" t="s">
        <v>1092</v>
      </c>
      <c r="B523" s="3" t="s">
        <v>1093</v>
      </c>
      <c r="C523" s="3" t="s">
        <v>19</v>
      </c>
      <c r="D523" s="4">
        <v>45225</v>
      </c>
      <c r="E523" s="4">
        <v>45956</v>
      </c>
      <c r="F523" s="3">
        <v>1000</v>
      </c>
      <c r="G523" s="3" t="s">
        <v>20</v>
      </c>
      <c r="H523" s="3">
        <v>1066.5</v>
      </c>
      <c r="I523" s="3" t="s">
        <v>20</v>
      </c>
      <c r="J523" s="3">
        <v>106.65</v>
      </c>
      <c r="K523" s="3">
        <v>5</v>
      </c>
      <c r="L523" s="5">
        <v>8.9499999999999996E-2</v>
      </c>
      <c r="M523" s="3" t="s">
        <v>21</v>
      </c>
      <c r="N523" s="3">
        <v>39</v>
      </c>
      <c r="O523" s="6">
        <f>Table1[[#This Row],[Current coupon %]]*Table1[[#This Row],[Face value]]/Table1[[#This Row],[Ask Price]]</f>
        <v>8.3919362400375064E-2</v>
      </c>
      <c r="P523" s="3"/>
      <c r="Q523" s="3" t="s">
        <v>22</v>
      </c>
      <c r="R523">
        <f t="shared" si="8"/>
        <v>2</v>
      </c>
      <c r="S523" s="22" cm="1">
        <f t="array" ref="S523">_xlfn.IFS(Table1[[#This Row],[Coupon frequency]]="Semi-annual",2,Table1[[#This Row],[Coupon frequency]]="Quarterly",4,Table1[[#This Row],[Coupon frequency]]="Annual",1,Table1[[#This Row],[Coupon frequency]]="Every 4 months",3,Table1[[#This Row],[Coupon frequency]]="Monthly",12)</f>
        <v>1</v>
      </c>
      <c r="T523">
        <f>Table1[[#This Row],[Term to Maturity (Years)]]*Table1[[#This Row],[Coupon Frequency2]]</f>
        <v>2</v>
      </c>
      <c r="U523">
        <f>Table1[[#This Row],[Face value]]*Table1[[#This Row],[Current coupon %]]/Table1[[#This Row],[Coupon Frequency2]]</f>
        <v>89.5</v>
      </c>
      <c r="V523" s="23">
        <f>RATE(Table1[[#This Row],[Total No. of Coupons]],Table1[[#This Row],[Coupon Amount]],-Table1[[#This Row],[Ask Price]],Table1[[#This Row],[Face value]])</f>
        <v>5.3555689749968688E-2</v>
      </c>
      <c r="W523" s="24">
        <f>Table1[[#This Row],[IRR]]*Table1[[#This Row],[Coupon Frequency2]]</f>
        <v>5.3555689749968688E-2</v>
      </c>
      <c r="X523" s="25" cm="1">
        <f t="array" ref="X5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3" s="26">
        <f>DURATION(Table1[[#This Row],[Issue date]],Table1[[#This Row],[Maturity date]],Table1[[#This Row],[Current coupon %]],Table1[[#This Row],[Yield (Annualised)]],Table1[[#This Row],[Coupon Frequency2]])</f>
        <v>1.9203465339166712</v>
      </c>
      <c r="Z523" s="26">
        <f>Table1[[#This Row],[Macaulay Duration in Years]]/(1+Table1[[#This Row],[IRR]])</f>
        <v>1.8227290238187699</v>
      </c>
      <c r="AA523" s="27">
        <f>VLOOKUP(Table1[[#This Row],[Yield Cluster]],'[1]Cluster Details'!$B$3:$C$16,2,0)</f>
        <v>7.8548801574189142E-2</v>
      </c>
      <c r="AB523" s="28">
        <f>PRICE(Table1[[#This Row],[Issue date]],Table1[[#This Row],[Maturity date]],Table1[[#This Row],[Current coupon %]],Table1[[#This Row],[Average Cluster Yield]],100,Table1[[#This Row],[Coupon Frequency2]])*Table1[[#This Row],[Face value]]/100</f>
        <v>1019.5678122390063</v>
      </c>
      <c r="AC523" s="27" t="str">
        <f>IF(Table1[[#This Row],[Ask Price]]&gt;Table1[[#This Row],[Calculated Bond Price]],"Rich","Cheap")</f>
        <v>Rich</v>
      </c>
      <c r="AD523" s="28">
        <f>PRICE(Table1[[#This Row],[Issue date]],Table1[[#This Row],[Maturity date]],Table1[[#This Row],[Current coupon %]],Table1[[#This Row],[Yield (Annualised)]]+$AE$2,100,Table1[[#This Row],[Coupon Frequency2]])*Table1[[#This Row],[Face value]]/100</f>
        <v>1047.3301468911222</v>
      </c>
      <c r="AE523" s="28">
        <f>PRICE(Table1[[#This Row],[Issue date]],Table1[[#This Row],[Maturity date]],Table1[[#This Row],[Current coupon %]],Table1[[#This Row],[Yield (Annualised)]]-$AE$2,100,Table1[[#This Row],[Coupon Frequency2]])*Table1[[#This Row],[Face value]]/100</f>
        <v>1086.2158179238284</v>
      </c>
      <c r="AF523" s="28">
        <f>(Table1[[#This Row],[P (+ shock)]]+Table1[[#This Row],[P (-shock)]]-2*Table1[[#This Row],[Ask Price]])/(2*Table1[[#This Row],[Ask Price]]*($AE$2^2))</f>
        <v>2.5596100091459029</v>
      </c>
    </row>
    <row r="524" spans="1:32" x14ac:dyDescent="0.25">
      <c r="A524" s="21" t="s">
        <v>1094</v>
      </c>
      <c r="B524" s="3" t="s">
        <v>1095</v>
      </c>
      <c r="C524" s="3" t="s">
        <v>19</v>
      </c>
      <c r="D524" s="4">
        <v>43623</v>
      </c>
      <c r="E524" s="4">
        <v>47276</v>
      </c>
      <c r="F524" s="3">
        <v>1000000</v>
      </c>
      <c r="G524" s="3" t="s">
        <v>20</v>
      </c>
      <c r="H524" s="3">
        <v>1055000</v>
      </c>
      <c r="I524" s="3" t="s">
        <v>20</v>
      </c>
      <c r="J524" s="3">
        <v>105.5</v>
      </c>
      <c r="K524" s="3">
        <v>2</v>
      </c>
      <c r="L524" s="5">
        <v>8.8499999999999995E-2</v>
      </c>
      <c r="M524" s="3" t="s">
        <v>21</v>
      </c>
      <c r="N524" s="3">
        <v>1359</v>
      </c>
      <c r="O524" s="6">
        <f>Table1[[#This Row],[Current coupon %]]*Table1[[#This Row],[Face value]]/Table1[[#This Row],[Ask Price]]</f>
        <v>8.3886255924170622E-2</v>
      </c>
      <c r="P524" s="3"/>
      <c r="Q524" s="3" t="s">
        <v>22</v>
      </c>
      <c r="R524">
        <f t="shared" si="8"/>
        <v>10</v>
      </c>
      <c r="S524" s="22" cm="1">
        <f t="array" ref="S524">_xlfn.IFS(Table1[[#This Row],[Coupon frequency]]="Semi-annual",2,Table1[[#This Row],[Coupon frequency]]="Quarterly",4,Table1[[#This Row],[Coupon frequency]]="Annual",1,Table1[[#This Row],[Coupon frequency]]="Every 4 months",3,Table1[[#This Row],[Coupon frequency]]="Monthly",12)</f>
        <v>1</v>
      </c>
      <c r="T524">
        <f>Table1[[#This Row],[Term to Maturity (Years)]]*Table1[[#This Row],[Coupon Frequency2]]</f>
        <v>10</v>
      </c>
      <c r="U524">
        <f>Table1[[#This Row],[Face value]]*Table1[[#This Row],[Current coupon %]]/Table1[[#This Row],[Coupon Frequency2]]</f>
        <v>88500</v>
      </c>
      <c r="V524" s="23">
        <f>RATE(Table1[[#This Row],[Total No. of Coupons]],Table1[[#This Row],[Coupon Amount]],-Table1[[#This Row],[Ask Price]],Table1[[#This Row],[Face value]])</f>
        <v>8.0292558767551092E-2</v>
      </c>
      <c r="W524" s="24">
        <f>Table1[[#This Row],[IRR]]*Table1[[#This Row],[Coupon Frequency2]]</f>
        <v>8.0292558767551092E-2</v>
      </c>
      <c r="X524" s="25" cm="1">
        <f t="array" ref="X5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4" s="26">
        <f>DURATION(Table1[[#This Row],[Issue date]],Table1[[#This Row],[Maturity date]],Table1[[#This Row],[Current coupon %]],Table1[[#This Row],[Yield (Annualised)]],Table1[[#This Row],[Coupon Frequency2]])</f>
        <v>7.1157329568234635</v>
      </c>
      <c r="Z524" s="26">
        <f>Table1[[#This Row],[Macaulay Duration in Years]]/(1+Table1[[#This Row],[IRR]])</f>
        <v>6.5868573277422442</v>
      </c>
      <c r="AA524" s="27">
        <f>VLOOKUP(Table1[[#This Row],[Yield Cluster]],'[1]Cluster Details'!$B$3:$C$16,2,0)</f>
        <v>7.8548801574189142E-2</v>
      </c>
      <c r="AB524" s="28">
        <f>PRICE(Table1[[#This Row],[Issue date]],Table1[[#This Row],[Maturity date]],Table1[[#This Row],[Current coupon %]],Table1[[#This Row],[Average Cluster Yield]],100,Table1[[#This Row],[Coupon Frequency2]])*Table1[[#This Row],[Face value]]/100</f>
        <v>1067212.6389909426</v>
      </c>
      <c r="AC524" s="27" t="str">
        <f>IF(Table1[[#This Row],[Ask Price]]&gt;Table1[[#This Row],[Calculated Bond Price]],"Rich","Cheap")</f>
        <v>Cheap</v>
      </c>
      <c r="AD524" s="28">
        <f>PRICE(Table1[[#This Row],[Issue date]],Table1[[#This Row],[Maturity date]],Table1[[#This Row],[Current coupon %]],Table1[[#This Row],[Yield (Annualised)]]+$AE$2,100,Table1[[#This Row],[Coupon Frequency2]])*Table1[[#This Row],[Face value]]/100</f>
        <v>988510.77073045215</v>
      </c>
      <c r="AE524" s="28">
        <f>PRICE(Table1[[#This Row],[Issue date]],Table1[[#This Row],[Maturity date]],Table1[[#This Row],[Current coupon %]],Table1[[#This Row],[Yield (Annualised)]]-$AE$2,100,Table1[[#This Row],[Coupon Frequency2]])*Table1[[#This Row],[Face value]]/100</f>
        <v>1127708.6864062124</v>
      </c>
      <c r="AF524" s="28">
        <f>(Table1[[#This Row],[P (+ shock)]]+Table1[[#This Row],[P (-shock)]]-2*Table1[[#This Row],[Ask Price]])/(2*Table1[[#This Row],[Ask Price]]*($AE$2^2))</f>
        <v>29.476100173765591</v>
      </c>
    </row>
    <row r="525" spans="1:32" x14ac:dyDescent="0.25">
      <c r="A525" s="21" t="s">
        <v>1096</v>
      </c>
      <c r="B525" s="3" t="s">
        <v>1097</v>
      </c>
      <c r="C525" s="3" t="s">
        <v>19</v>
      </c>
      <c r="D525" s="4">
        <v>43537</v>
      </c>
      <c r="E525" s="4">
        <v>47190</v>
      </c>
      <c r="F525" s="3">
        <v>1000</v>
      </c>
      <c r="G525" s="3" t="s">
        <v>20</v>
      </c>
      <c r="H525" s="3">
        <v>1115</v>
      </c>
      <c r="I525" s="3" t="s">
        <v>20</v>
      </c>
      <c r="J525" s="3">
        <v>111.5</v>
      </c>
      <c r="K525" s="3">
        <v>60</v>
      </c>
      <c r="L525" s="5">
        <v>9.35E-2</v>
      </c>
      <c r="M525" s="3" t="s">
        <v>21</v>
      </c>
      <c r="N525" s="3">
        <v>1273</v>
      </c>
      <c r="O525" s="6">
        <f>Table1[[#This Row],[Current coupon %]]*Table1[[#This Row],[Face value]]/Table1[[#This Row],[Ask Price]]</f>
        <v>8.3856502242152464E-2</v>
      </c>
      <c r="P525" s="3"/>
      <c r="Q525" s="3" t="s">
        <v>22</v>
      </c>
      <c r="R525">
        <f t="shared" si="8"/>
        <v>10</v>
      </c>
      <c r="S525" s="22" cm="1">
        <f t="array" ref="S525">_xlfn.IFS(Table1[[#This Row],[Coupon frequency]]="Semi-annual",2,Table1[[#This Row],[Coupon frequency]]="Quarterly",4,Table1[[#This Row],[Coupon frequency]]="Annual",1,Table1[[#This Row],[Coupon frequency]]="Every 4 months",3,Table1[[#This Row],[Coupon frequency]]="Monthly",12)</f>
        <v>1</v>
      </c>
      <c r="T525">
        <f>Table1[[#This Row],[Term to Maturity (Years)]]*Table1[[#This Row],[Coupon Frequency2]]</f>
        <v>10</v>
      </c>
      <c r="U525">
        <f>Table1[[#This Row],[Face value]]*Table1[[#This Row],[Current coupon %]]/Table1[[#This Row],[Coupon Frequency2]]</f>
        <v>93.5</v>
      </c>
      <c r="V525" s="23">
        <f>RATE(Table1[[#This Row],[Total No. of Coupons]],Table1[[#This Row],[Coupon Amount]],-Table1[[#This Row],[Ask Price]],Table1[[#This Row],[Face value]])</f>
        <v>7.6621836151284373E-2</v>
      </c>
      <c r="W525" s="24">
        <f>Table1[[#This Row],[IRR]]*Table1[[#This Row],[Coupon Frequency2]]</f>
        <v>7.6621836151284373E-2</v>
      </c>
      <c r="X525" s="25" cm="1">
        <f t="array" ref="X5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5" s="26">
        <f>DURATION(Table1[[#This Row],[Issue date]],Table1[[#This Row],[Maturity date]],Table1[[#This Row],[Current coupon %]],Table1[[#This Row],[Yield (Annualised)]],Table1[[#This Row],[Coupon Frequency2]])</f>
        <v>7.0840296276430399</v>
      </c>
      <c r="Z525" s="26">
        <f>Table1[[#This Row],[Macaulay Duration in Years]]/(1+Table1[[#This Row],[IRR]])</f>
        <v>6.5798680555905129</v>
      </c>
      <c r="AA525" s="27">
        <f>VLOOKUP(Table1[[#This Row],[Yield Cluster]],'[1]Cluster Details'!$B$3:$C$16,2,0)</f>
        <v>7.8548801574189142E-2</v>
      </c>
      <c r="AB525" s="28">
        <f>PRICE(Table1[[#This Row],[Issue date]],Table1[[#This Row],[Maturity date]],Table1[[#This Row],[Current coupon %]],Table1[[#This Row],[Average Cluster Yield]],100,Table1[[#This Row],[Coupon Frequency2]])*Table1[[#This Row],[Face value]]/100</f>
        <v>1100.9837669068575</v>
      </c>
      <c r="AC525" s="27" t="str">
        <f>IF(Table1[[#This Row],[Ask Price]]&gt;Table1[[#This Row],[Calculated Bond Price]],"Rich","Cheap")</f>
        <v>Rich</v>
      </c>
      <c r="AD525" s="28">
        <f>PRICE(Table1[[#This Row],[Issue date]],Table1[[#This Row],[Maturity date]],Table1[[#This Row],[Current coupon %]],Table1[[#This Row],[Yield (Annualised)]]+$AE$2,100,Table1[[#This Row],[Coupon Frequency2]])*Table1[[#This Row],[Face value]]/100</f>
        <v>1044.8057178000799</v>
      </c>
      <c r="AE525" s="28">
        <f>PRICE(Table1[[#This Row],[Issue date]],Table1[[#This Row],[Maturity date]],Table1[[#This Row],[Current coupon %]],Table1[[#This Row],[Yield (Annualised)]]-$AE$2,100,Table1[[#This Row],[Coupon Frequency2]])*Table1[[#This Row],[Face value]]/100</f>
        <v>1191.7645033400961</v>
      </c>
      <c r="AF525" s="28">
        <f>(Table1[[#This Row],[P (+ shock)]]+Table1[[#This Row],[P (-shock)]]-2*Table1[[#This Row],[Ask Price]])/(2*Table1[[#This Row],[Ask Price]]*($AE$2^2))</f>
        <v>29.462875068052995</v>
      </c>
    </row>
    <row r="526" spans="1:32" x14ac:dyDescent="0.25">
      <c r="A526" s="21" t="s">
        <v>1098</v>
      </c>
      <c r="B526" s="3" t="s">
        <v>1099</v>
      </c>
      <c r="C526" s="3" t="s">
        <v>19</v>
      </c>
      <c r="D526" s="4">
        <v>45233</v>
      </c>
      <c r="E526" s="4">
        <v>45964</v>
      </c>
      <c r="F526" s="3">
        <v>1000</v>
      </c>
      <c r="G526" s="3" t="s">
        <v>20</v>
      </c>
      <c r="H526" s="3">
        <v>1074</v>
      </c>
      <c r="I526" s="3" t="s">
        <v>20</v>
      </c>
      <c r="J526" s="3">
        <v>107.4</v>
      </c>
      <c r="K526" s="3">
        <v>6</v>
      </c>
      <c r="L526" s="5">
        <v>0.09</v>
      </c>
      <c r="M526" s="3" t="s">
        <v>21</v>
      </c>
      <c r="N526" s="3">
        <v>47</v>
      </c>
      <c r="O526" s="6">
        <f>Table1[[#This Row],[Current coupon %]]*Table1[[#This Row],[Face value]]/Table1[[#This Row],[Ask Price]]</f>
        <v>8.3798882681564241E-2</v>
      </c>
      <c r="P526" s="3"/>
      <c r="Q526" s="3" t="s">
        <v>22</v>
      </c>
      <c r="R526">
        <f t="shared" si="8"/>
        <v>2</v>
      </c>
      <c r="S526" s="22" cm="1">
        <f t="array" ref="S526">_xlfn.IFS(Table1[[#This Row],[Coupon frequency]]="Semi-annual",2,Table1[[#This Row],[Coupon frequency]]="Quarterly",4,Table1[[#This Row],[Coupon frequency]]="Annual",1,Table1[[#This Row],[Coupon frequency]]="Every 4 months",3,Table1[[#This Row],[Coupon frequency]]="Monthly",12)</f>
        <v>1</v>
      </c>
      <c r="T526">
        <f>Table1[[#This Row],[Term to Maturity (Years)]]*Table1[[#This Row],[Coupon Frequency2]]</f>
        <v>2</v>
      </c>
      <c r="U526">
        <f>Table1[[#This Row],[Face value]]*Table1[[#This Row],[Current coupon %]]/Table1[[#This Row],[Coupon Frequency2]]</f>
        <v>90</v>
      </c>
      <c r="V526" s="23">
        <f>RATE(Table1[[#This Row],[Total No. of Coupons]],Table1[[#This Row],[Coupon Amount]],-Table1[[#This Row],[Ask Price]],Table1[[#This Row],[Face value]])</f>
        <v>5.019163228970025E-2</v>
      </c>
      <c r="W526" s="24">
        <f>Table1[[#This Row],[IRR]]*Table1[[#This Row],[Coupon Frequency2]]</f>
        <v>5.019163228970025E-2</v>
      </c>
      <c r="X526" s="25" cm="1">
        <f t="array" ref="X5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6" s="26">
        <f>DURATION(Table1[[#This Row],[Issue date]],Table1[[#This Row],[Maturity date]],Table1[[#This Row],[Current coupon %]],Table1[[#This Row],[Yield (Annualised)]],Table1[[#This Row],[Coupon Frequency2]])</f>
        <v>1.9202061032433682</v>
      </c>
      <c r="Z526" s="26">
        <f>Table1[[#This Row],[Macaulay Duration in Years]]/(1+Table1[[#This Row],[IRR]])</f>
        <v>1.8284340154727783</v>
      </c>
      <c r="AA526" s="27">
        <f>VLOOKUP(Table1[[#This Row],[Yield Cluster]],'[1]Cluster Details'!$B$3:$C$16,2,0)</f>
        <v>7.8548801574189142E-2</v>
      </c>
      <c r="AB526" s="28">
        <f>PRICE(Table1[[#This Row],[Issue date]],Table1[[#This Row],[Maturity date]],Table1[[#This Row],[Current coupon %]],Table1[[#This Row],[Average Cluster Yield]],100,Table1[[#This Row],[Coupon Frequency2]])*Table1[[#This Row],[Face value]]/100</f>
        <v>1020.4612218677136</v>
      </c>
      <c r="AC526" s="27" t="str">
        <f>IF(Table1[[#This Row],[Ask Price]]&gt;Table1[[#This Row],[Calculated Bond Price]],"Rich","Cheap")</f>
        <v>Rich</v>
      </c>
      <c r="AD526" s="28">
        <f>PRICE(Table1[[#This Row],[Issue date]],Table1[[#This Row],[Maturity date]],Table1[[#This Row],[Current coupon %]],Table1[[#This Row],[Yield (Annualised)]]+$AE$2,100,Table1[[#This Row],[Coupon Frequency2]])*Table1[[#This Row],[Face value]]/100</f>
        <v>1054.635770176026</v>
      </c>
      <c r="AE526" s="28">
        <f>PRICE(Table1[[#This Row],[Issue date]],Table1[[#This Row],[Maturity date]],Table1[[#This Row],[Current coupon %]],Table1[[#This Row],[Yield (Annualised)]]-$AE$2,100,Table1[[#This Row],[Coupon Frequency2]])*Table1[[#This Row],[Face value]]/100</f>
        <v>1093.9175078654946</v>
      </c>
      <c r="AF526" s="28">
        <f>(Table1[[#This Row],[P (+ shock)]]+Table1[[#This Row],[P (-shock)]]-2*Table1[[#This Row],[Ask Price]])/(2*Table1[[#This Row],[Ask Price]]*($AE$2^2))</f>
        <v>2.5757823162037741</v>
      </c>
    </row>
    <row r="527" spans="1:32" x14ac:dyDescent="0.25">
      <c r="A527" s="21" t="s">
        <v>1100</v>
      </c>
      <c r="B527" s="3" t="s">
        <v>1101</v>
      </c>
      <c r="C527" s="3" t="s">
        <v>19</v>
      </c>
      <c r="D527" s="4">
        <v>45267</v>
      </c>
      <c r="E527" s="4">
        <v>46363</v>
      </c>
      <c r="F527" s="3">
        <v>1000</v>
      </c>
      <c r="G527" s="3" t="s">
        <v>20</v>
      </c>
      <c r="H527" s="3">
        <v>1017.5</v>
      </c>
      <c r="I527" s="3" t="s">
        <v>20</v>
      </c>
      <c r="J527" s="3">
        <v>101.75</v>
      </c>
      <c r="K527" s="3">
        <v>12</v>
      </c>
      <c r="L527" s="5">
        <v>8.5000000000000006E-2</v>
      </c>
      <c r="M527" s="3" t="s">
        <v>21</v>
      </c>
      <c r="N527" s="3">
        <v>446</v>
      </c>
      <c r="O527" s="6">
        <f>Table1[[#This Row],[Current coupon %]]*Table1[[#This Row],[Face value]]/Table1[[#This Row],[Ask Price]]</f>
        <v>8.3538083538083535E-2</v>
      </c>
      <c r="P527" s="3"/>
      <c r="Q527" s="3" t="s">
        <v>22</v>
      </c>
      <c r="R527">
        <f t="shared" si="8"/>
        <v>3</v>
      </c>
      <c r="S527" s="22" cm="1">
        <f t="array" ref="S527">_xlfn.IFS(Table1[[#This Row],[Coupon frequency]]="Semi-annual",2,Table1[[#This Row],[Coupon frequency]]="Quarterly",4,Table1[[#This Row],[Coupon frequency]]="Annual",1,Table1[[#This Row],[Coupon frequency]]="Every 4 months",3,Table1[[#This Row],[Coupon frequency]]="Monthly",12)</f>
        <v>1</v>
      </c>
      <c r="T527">
        <f>Table1[[#This Row],[Term to Maturity (Years)]]*Table1[[#This Row],[Coupon Frequency2]]</f>
        <v>3</v>
      </c>
      <c r="U527">
        <f>Table1[[#This Row],[Face value]]*Table1[[#This Row],[Current coupon %]]/Table1[[#This Row],[Coupon Frequency2]]</f>
        <v>85</v>
      </c>
      <c r="V527" s="23">
        <f>RATE(Table1[[#This Row],[Total No. of Coupons]],Table1[[#This Row],[Coupon Amount]],-Table1[[#This Row],[Ask Price]],Table1[[#This Row],[Face value]])</f>
        <v>7.8231077106988511E-2</v>
      </c>
      <c r="W527" s="24">
        <f>Table1[[#This Row],[IRR]]*Table1[[#This Row],[Coupon Frequency2]]</f>
        <v>7.8231077106988511E-2</v>
      </c>
      <c r="X527" s="25" cm="1">
        <f t="array" ref="X5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7" s="26">
        <f>DURATION(Table1[[#This Row],[Issue date]],Table1[[#This Row],[Maturity date]],Table1[[#This Row],[Current coupon %]],Table1[[#This Row],[Yield (Annualised)]],Table1[[#This Row],[Coupon Frequency2]])</f>
        <v>2.7731904148334343</v>
      </c>
      <c r="Z527" s="26">
        <f>Table1[[#This Row],[Macaulay Duration in Years]]/(1+Table1[[#This Row],[IRR]])</f>
        <v>2.5719815294827213</v>
      </c>
      <c r="AA527" s="27">
        <f>VLOOKUP(Table1[[#This Row],[Yield Cluster]],'[1]Cluster Details'!$B$3:$C$16,2,0)</f>
        <v>7.8548801574189142E-2</v>
      </c>
      <c r="AB527" s="28">
        <f>PRICE(Table1[[#This Row],[Issue date]],Table1[[#This Row],[Maturity date]],Table1[[#This Row],[Current coupon %]],Table1[[#This Row],[Average Cluster Yield]],100,Table1[[#This Row],[Coupon Frequency2]])*Table1[[#This Row],[Face value]]/100</f>
        <v>1016.668994467577</v>
      </c>
      <c r="AC527" s="27" t="str">
        <f>IF(Table1[[#This Row],[Ask Price]]&gt;Table1[[#This Row],[Calculated Bond Price]],"Rich","Cheap")</f>
        <v>Rich</v>
      </c>
      <c r="AD527" s="28">
        <f>PRICE(Table1[[#This Row],[Issue date]],Table1[[#This Row],[Maturity date]],Table1[[#This Row],[Current coupon %]],Table1[[#This Row],[Yield (Annualised)]]+$AE$2,100,Table1[[#This Row],[Coupon Frequency2]])*Table1[[#This Row],[Face value]]/100</f>
        <v>991.79533828441765</v>
      </c>
      <c r="AE527" s="28">
        <f>PRICE(Table1[[#This Row],[Issue date]],Table1[[#This Row],[Maturity date]],Table1[[#This Row],[Current coupon %]],Table1[[#This Row],[Yield (Annualised)]]-$AE$2,100,Table1[[#This Row],[Coupon Frequency2]])*Table1[[#This Row],[Face value]]/100</f>
        <v>1044.1495671982284</v>
      </c>
      <c r="AF527" s="28">
        <f>(Table1[[#This Row],[P (+ shock)]]+Table1[[#This Row],[P (-shock)]]-2*Table1[[#This Row],[Ask Price]])/(2*Table1[[#This Row],[Ask Price]]*($AE$2^2))</f>
        <v>4.6432701849923141</v>
      </c>
    </row>
    <row r="528" spans="1:32" x14ac:dyDescent="0.25">
      <c r="A528" s="21" t="s">
        <v>1102</v>
      </c>
      <c r="B528" s="3" t="s">
        <v>1103</v>
      </c>
      <c r="C528" s="3" t="s">
        <v>19</v>
      </c>
      <c r="D528" s="4">
        <v>45358</v>
      </c>
      <c r="E528" s="4">
        <v>46514</v>
      </c>
      <c r="F528" s="3">
        <v>100000</v>
      </c>
      <c r="G528" s="3" t="s">
        <v>20</v>
      </c>
      <c r="H528" s="3">
        <v>100000</v>
      </c>
      <c r="I528" s="3" t="s">
        <v>20</v>
      </c>
      <c r="J528" s="3">
        <v>100</v>
      </c>
      <c r="K528" s="3">
        <v>1</v>
      </c>
      <c r="L528" s="5">
        <v>8.3499999999999991E-2</v>
      </c>
      <c r="M528" s="3" t="s">
        <v>21</v>
      </c>
      <c r="N528" s="3">
        <v>597</v>
      </c>
      <c r="O528" s="6">
        <f>Table1[[#This Row],[Current coupon %]]*Table1[[#This Row],[Face value]]/Table1[[#This Row],[Ask Price]]</f>
        <v>8.3499999999999977E-2</v>
      </c>
      <c r="P528" s="3"/>
      <c r="Q528" s="3" t="s">
        <v>22</v>
      </c>
      <c r="R528">
        <f t="shared" si="8"/>
        <v>3</v>
      </c>
      <c r="S528" s="22" cm="1">
        <f t="array" ref="S528">_xlfn.IFS(Table1[[#This Row],[Coupon frequency]]="Semi-annual",2,Table1[[#This Row],[Coupon frequency]]="Quarterly",4,Table1[[#This Row],[Coupon frequency]]="Annual",1,Table1[[#This Row],[Coupon frequency]]="Every 4 months",3,Table1[[#This Row],[Coupon frequency]]="Monthly",12)</f>
        <v>1</v>
      </c>
      <c r="T528">
        <f>Table1[[#This Row],[Term to Maturity (Years)]]*Table1[[#This Row],[Coupon Frequency2]]</f>
        <v>3</v>
      </c>
      <c r="U528">
        <f>Table1[[#This Row],[Face value]]*Table1[[#This Row],[Current coupon %]]/Table1[[#This Row],[Coupon Frequency2]]</f>
        <v>8349.9999999999982</v>
      </c>
      <c r="V528" s="23">
        <f>RATE(Table1[[#This Row],[Total No. of Coupons]],Table1[[#This Row],[Coupon Amount]],-Table1[[#This Row],[Ask Price]],Table1[[#This Row],[Face value]])</f>
        <v>8.35000000000055E-2</v>
      </c>
      <c r="W528" s="24">
        <f>Table1[[#This Row],[IRR]]*Table1[[#This Row],[Coupon Frequency2]]</f>
        <v>8.35000000000055E-2</v>
      </c>
      <c r="X528" s="25" cm="1">
        <f t="array" ref="X5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8" s="26">
        <f>DURATION(Table1[[#This Row],[Issue date]],Table1[[#This Row],[Maturity date]],Table1[[#This Row],[Current coupon %]],Table1[[#This Row],[Yield (Annualised)]],Table1[[#This Row],[Coupon Frequency2]])</f>
        <v>2.7275746720196148</v>
      </c>
      <c r="Z528" s="26">
        <f>Table1[[#This Row],[Macaulay Duration in Years]]/(1+Table1[[#This Row],[IRR]])</f>
        <v>2.5173739474107992</v>
      </c>
      <c r="AA528" s="27">
        <f>VLOOKUP(Table1[[#This Row],[Yield Cluster]],'[1]Cluster Details'!$B$3:$C$16,2,0)</f>
        <v>7.8548801574189142E-2</v>
      </c>
      <c r="AB528" s="28">
        <f>PRICE(Table1[[#This Row],[Issue date]],Table1[[#This Row],[Maturity date]],Table1[[#This Row],[Current coupon %]],Table1[[#This Row],[Average Cluster Yield]],100,Table1[[#This Row],[Coupon Frequency2]])*Table1[[#This Row],[Face value]]/100</f>
        <v>101298.02705712304</v>
      </c>
      <c r="AC528" s="27" t="str">
        <f>IF(Table1[[#This Row],[Ask Price]]&gt;Table1[[#This Row],[Calculated Bond Price]],"Rich","Cheap")</f>
        <v>Cheap</v>
      </c>
      <c r="AD528" s="28">
        <f>PRICE(Table1[[#This Row],[Issue date]],Table1[[#This Row],[Maturity date]],Table1[[#This Row],[Current coupon %]],Table1[[#This Row],[Yield (Annualised)]]+$AE$2,100,Table1[[#This Row],[Coupon Frequency2]])*Table1[[#This Row],[Face value]]/100</f>
        <v>97311.121716078254</v>
      </c>
      <c r="AE528" s="28">
        <f>PRICE(Table1[[#This Row],[Issue date]],Table1[[#This Row],[Maturity date]],Table1[[#This Row],[Current coupon %]],Table1[[#This Row],[Yield (Annualised)]]-$AE$2,100,Table1[[#This Row],[Coupon Frequency2]])*Table1[[#This Row],[Face value]]/100</f>
        <v>102695.41341357669</v>
      </c>
      <c r="AF528" s="28">
        <f>(Table1[[#This Row],[P (+ shock)]]+Table1[[#This Row],[P (-shock)]]-2*Table1[[#This Row],[Ask Price]])/(2*Table1[[#This Row],[Ask Price]]*($AE$2^2))</f>
        <v>0.32675648274744162</v>
      </c>
    </row>
    <row r="529" spans="1:32" x14ac:dyDescent="0.25">
      <c r="A529" s="21" t="s">
        <v>1104</v>
      </c>
      <c r="B529" s="3" t="s">
        <v>1105</v>
      </c>
      <c r="C529" s="3" t="s">
        <v>19</v>
      </c>
      <c r="D529" s="4">
        <v>44841</v>
      </c>
      <c r="E529" s="4">
        <v>45937</v>
      </c>
      <c r="F529" s="3">
        <v>1000000</v>
      </c>
      <c r="G529" s="3" t="s">
        <v>20</v>
      </c>
      <c r="H529" s="3">
        <v>994347.81</v>
      </c>
      <c r="I529" s="3" t="s">
        <v>20</v>
      </c>
      <c r="J529" s="3">
        <v>99.434781000000001</v>
      </c>
      <c r="K529" s="3">
        <v>1</v>
      </c>
      <c r="L529" s="5">
        <v>8.3000000000000004E-2</v>
      </c>
      <c r="M529" s="3" t="s">
        <v>21</v>
      </c>
      <c r="N529" s="3">
        <v>20</v>
      </c>
      <c r="O529" s="6">
        <f>Table1[[#This Row],[Current coupon %]]*Table1[[#This Row],[Face value]]/Table1[[#This Row],[Ask Price]]</f>
        <v>8.3471798464563415E-2</v>
      </c>
      <c r="P529" s="3"/>
      <c r="Q529" s="3" t="s">
        <v>22</v>
      </c>
      <c r="R529">
        <f t="shared" si="8"/>
        <v>3</v>
      </c>
      <c r="S529" s="22" cm="1">
        <f t="array" ref="S529">_xlfn.IFS(Table1[[#This Row],[Coupon frequency]]="Semi-annual",2,Table1[[#This Row],[Coupon frequency]]="Quarterly",4,Table1[[#This Row],[Coupon frequency]]="Annual",1,Table1[[#This Row],[Coupon frequency]]="Every 4 months",3,Table1[[#This Row],[Coupon frequency]]="Monthly",12)</f>
        <v>1</v>
      </c>
      <c r="T529">
        <f>Table1[[#This Row],[Term to Maturity (Years)]]*Table1[[#This Row],[Coupon Frequency2]]</f>
        <v>3</v>
      </c>
      <c r="U529">
        <f>Table1[[#This Row],[Face value]]*Table1[[#This Row],[Current coupon %]]/Table1[[#This Row],[Coupon Frequency2]]</f>
        <v>83000</v>
      </c>
      <c r="V529" s="23">
        <f>RATE(Table1[[#This Row],[Total No. of Coupons]],Table1[[#This Row],[Coupon Amount]],-Table1[[#This Row],[Ask Price]],Table1[[#This Row],[Face value]])</f>
        <v>8.5213903161897669E-2</v>
      </c>
      <c r="W529" s="24">
        <f>Table1[[#This Row],[IRR]]*Table1[[#This Row],[Coupon Frequency2]]</f>
        <v>8.5213903161897669E-2</v>
      </c>
      <c r="X529" s="25" cm="1">
        <f t="array" ref="X5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29" s="26">
        <f>DURATION(Table1[[#This Row],[Issue date]],Table1[[#This Row],[Maturity date]],Table1[[#This Row],[Current coupon %]],Table1[[#This Row],[Yield (Annualised)]],Table1[[#This Row],[Coupon Frequency2]])</f>
        <v>2.7752876502672961</v>
      </c>
      <c r="Z529" s="26">
        <f>Table1[[#This Row],[Macaulay Duration in Years]]/(1+Table1[[#This Row],[IRR]])</f>
        <v>2.5573646284674116</v>
      </c>
      <c r="AA529" s="27">
        <f>VLOOKUP(Table1[[#This Row],[Yield Cluster]],'[1]Cluster Details'!$B$3:$C$16,2,0)</f>
        <v>7.8548801574189142E-2</v>
      </c>
      <c r="AB529" s="28">
        <f>PRICE(Table1[[#This Row],[Issue date]],Table1[[#This Row],[Maturity date]],Table1[[#This Row],[Current coupon %]],Table1[[#This Row],[Average Cluster Yield]],100,Table1[[#This Row],[Coupon Frequency2]])*Table1[[#This Row],[Face value]]/100</f>
        <v>1011501.27418761</v>
      </c>
      <c r="AC529" s="27" t="str">
        <f>IF(Table1[[#This Row],[Ask Price]]&gt;Table1[[#This Row],[Calculated Bond Price]],"Rich","Cheap")</f>
        <v>Cheap</v>
      </c>
      <c r="AD529" s="28">
        <f>PRICE(Table1[[#This Row],[Issue date]],Table1[[#This Row],[Maturity date]],Table1[[#This Row],[Current coupon %]],Table1[[#This Row],[Yield (Annualised)]]+$AE$2,100,Table1[[#This Row],[Coupon Frequency2]])*Table1[[#This Row],[Face value]]/100</f>
        <v>969368.06171273079</v>
      </c>
      <c r="AE529" s="28">
        <f>PRICE(Table1[[#This Row],[Issue date]],Table1[[#This Row],[Maturity date]],Table1[[#This Row],[Current coupon %]],Table1[[#This Row],[Yield (Annualised)]]-$AE$2,100,Table1[[#This Row],[Coupon Frequency2]])*Table1[[#This Row],[Face value]]/100</f>
        <v>1020240.084037017</v>
      </c>
      <c r="AF529" s="28">
        <f>(Table1[[#This Row],[P (+ shock)]]+Table1[[#This Row],[P (-shock)]]-2*Table1[[#This Row],[Ask Price]])/(2*Table1[[#This Row],[Ask Price]]*($AE$2^2))</f>
        <v>4.5885641853409487</v>
      </c>
    </row>
    <row r="530" spans="1:32" x14ac:dyDescent="0.25">
      <c r="A530" s="21" t="s">
        <v>1106</v>
      </c>
      <c r="B530" s="3" t="s">
        <v>1107</v>
      </c>
      <c r="C530" s="3" t="s">
        <v>19</v>
      </c>
      <c r="D530" s="4">
        <v>44483</v>
      </c>
      <c r="E530" s="4">
        <v>46309</v>
      </c>
      <c r="F530" s="3">
        <v>1000</v>
      </c>
      <c r="G530" s="3" t="s">
        <v>20</v>
      </c>
      <c r="H530" s="3">
        <v>1050</v>
      </c>
      <c r="I530" s="3" t="s">
        <v>20</v>
      </c>
      <c r="J530" s="3">
        <v>105</v>
      </c>
      <c r="K530" s="3">
        <v>1</v>
      </c>
      <c r="L530" s="5">
        <v>8.7499999999999994E-2</v>
      </c>
      <c r="M530" s="3" t="s">
        <v>21</v>
      </c>
      <c r="N530" s="3">
        <v>392</v>
      </c>
      <c r="O530" s="6">
        <f>Table1[[#This Row],[Current coupon %]]*Table1[[#This Row],[Face value]]/Table1[[#This Row],[Ask Price]]</f>
        <v>8.3333333333333329E-2</v>
      </c>
      <c r="P530" s="3" t="s">
        <v>25</v>
      </c>
      <c r="Q530" s="3" t="s">
        <v>22</v>
      </c>
      <c r="R530">
        <f t="shared" si="8"/>
        <v>5</v>
      </c>
      <c r="S530" s="22" cm="1">
        <f t="array" ref="S530">_xlfn.IFS(Table1[[#This Row],[Coupon frequency]]="Semi-annual",2,Table1[[#This Row],[Coupon frequency]]="Quarterly",4,Table1[[#This Row],[Coupon frequency]]="Annual",1,Table1[[#This Row],[Coupon frequency]]="Every 4 months",3,Table1[[#This Row],[Coupon frequency]]="Monthly",12)</f>
        <v>1</v>
      </c>
      <c r="T530">
        <f>Table1[[#This Row],[Term to Maturity (Years)]]*Table1[[#This Row],[Coupon Frequency2]]</f>
        <v>5</v>
      </c>
      <c r="U530">
        <f>Table1[[#This Row],[Face value]]*Table1[[#This Row],[Current coupon %]]/Table1[[#This Row],[Coupon Frequency2]]</f>
        <v>87.5</v>
      </c>
      <c r="V530" s="23">
        <f>RATE(Table1[[#This Row],[Total No. of Coupons]],Table1[[#This Row],[Coupon Amount]],-Table1[[#This Row],[Ask Price]],Table1[[#This Row],[Face value]])</f>
        <v>7.5137257735152549E-2</v>
      </c>
      <c r="W530" s="24">
        <f>Table1[[#This Row],[IRR]]*Table1[[#This Row],[Coupon Frequency2]]</f>
        <v>7.5137257735152549E-2</v>
      </c>
      <c r="X530" s="25" cm="1">
        <f t="array" ref="X5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0" s="26">
        <f>DURATION(Table1[[#This Row],[Issue date]],Table1[[#This Row],[Maturity date]],Table1[[#This Row],[Current coupon %]],Table1[[#This Row],[Yield (Annualised)]],Table1[[#This Row],[Coupon Frequency2]])</f>
        <v>4.2772072429910946</v>
      </c>
      <c r="Z530" s="26">
        <f>Table1[[#This Row],[Macaulay Duration in Years]]/(1+Table1[[#This Row],[IRR]])</f>
        <v>3.9782894809182907</v>
      </c>
      <c r="AA530" s="27">
        <f>VLOOKUP(Table1[[#This Row],[Yield Cluster]],'[1]Cluster Details'!$B$3:$C$16,2,0)</f>
        <v>7.8548801574189142E-2</v>
      </c>
      <c r="AB530" s="28">
        <f>PRICE(Table1[[#This Row],[Issue date]],Table1[[#This Row],[Maturity date]],Table1[[#This Row],[Current coupon %]],Table1[[#This Row],[Average Cluster Yield]],100,Table1[[#This Row],[Coupon Frequency2]])*Table1[[#This Row],[Face value]]/100</f>
        <v>1035.8766551586157</v>
      </c>
      <c r="AC530" s="27" t="str">
        <f>IF(Table1[[#This Row],[Ask Price]]&gt;Table1[[#This Row],[Calculated Bond Price]],"Rich","Cheap")</f>
        <v>Rich</v>
      </c>
      <c r="AD530" s="28">
        <f>PRICE(Table1[[#This Row],[Issue date]],Table1[[#This Row],[Maturity date]],Table1[[#This Row],[Current coupon %]],Table1[[#This Row],[Yield (Annualised)]]+$AE$2,100,Table1[[#This Row],[Coupon Frequency2]])*Table1[[#This Row],[Face value]]/100</f>
        <v>1009.3073806217385</v>
      </c>
      <c r="AE530" s="28">
        <f>PRICE(Table1[[#This Row],[Issue date]],Table1[[#This Row],[Maturity date]],Table1[[#This Row],[Current coupon %]],Table1[[#This Row],[Yield (Annualised)]]-$AE$2,100,Table1[[#This Row],[Coupon Frequency2]])*Table1[[#This Row],[Face value]]/100</f>
        <v>1092.8979727533285</v>
      </c>
      <c r="AF530" s="28">
        <f>(Table1[[#This Row],[P (+ shock)]]+Table1[[#This Row],[P (-shock)]]-2*Table1[[#This Row],[Ask Price]])/(2*Table1[[#This Row],[Ask Price]]*($AE$2^2))</f>
        <v>10.501682738413363</v>
      </c>
    </row>
    <row r="531" spans="1:32" x14ac:dyDescent="0.25">
      <c r="A531" s="21" t="s">
        <v>1108</v>
      </c>
      <c r="B531" s="3" t="s">
        <v>1109</v>
      </c>
      <c r="C531" s="3" t="s">
        <v>19</v>
      </c>
      <c r="D531" s="4">
        <v>45450</v>
      </c>
      <c r="E531" s="4">
        <v>46605</v>
      </c>
      <c r="F531" s="3">
        <v>100000</v>
      </c>
      <c r="G531" s="3" t="s">
        <v>20</v>
      </c>
      <c r="H531" s="3">
        <v>100000</v>
      </c>
      <c r="I531" s="3" t="s">
        <v>20</v>
      </c>
      <c r="J531" s="3">
        <v>100</v>
      </c>
      <c r="K531" s="3">
        <v>5</v>
      </c>
      <c r="L531" s="5">
        <v>8.3330000000000001E-2</v>
      </c>
      <c r="M531" s="3" t="s">
        <v>21</v>
      </c>
      <c r="N531" s="3">
        <v>688</v>
      </c>
      <c r="O531" s="6">
        <f>Table1[[#This Row],[Current coupon %]]*Table1[[#This Row],[Face value]]/Table1[[#This Row],[Ask Price]]</f>
        <v>8.3330000000000001E-2</v>
      </c>
      <c r="P531" s="3"/>
      <c r="Q531" s="3" t="s">
        <v>22</v>
      </c>
      <c r="R531">
        <f t="shared" si="8"/>
        <v>3</v>
      </c>
      <c r="S531" s="22" cm="1">
        <f t="array" ref="S531">_xlfn.IFS(Table1[[#This Row],[Coupon frequency]]="Semi-annual",2,Table1[[#This Row],[Coupon frequency]]="Quarterly",4,Table1[[#This Row],[Coupon frequency]]="Annual",1,Table1[[#This Row],[Coupon frequency]]="Every 4 months",3,Table1[[#This Row],[Coupon frequency]]="Monthly",12)</f>
        <v>1</v>
      </c>
      <c r="T531">
        <f>Table1[[#This Row],[Term to Maturity (Years)]]*Table1[[#This Row],[Coupon Frequency2]]</f>
        <v>3</v>
      </c>
      <c r="U531">
        <f>Table1[[#This Row],[Face value]]*Table1[[#This Row],[Current coupon %]]/Table1[[#This Row],[Coupon Frequency2]]</f>
        <v>8333</v>
      </c>
      <c r="V531" s="23">
        <f>RATE(Table1[[#This Row],[Total No. of Coupons]],Table1[[#This Row],[Coupon Amount]],-Table1[[#This Row],[Ask Price]],Table1[[#This Row],[Face value]])</f>
        <v>8.3330000000005969E-2</v>
      </c>
      <c r="W531" s="24">
        <f>Table1[[#This Row],[IRR]]*Table1[[#This Row],[Coupon Frequency2]]</f>
        <v>8.3330000000005969E-2</v>
      </c>
      <c r="X531" s="25" cm="1">
        <f t="array" ref="X5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1" s="26">
        <f>DURATION(Table1[[#This Row],[Issue date]],Table1[[#This Row],[Maturity date]],Table1[[#This Row],[Current coupon %]],Table1[[#This Row],[Yield (Annualised)]],Table1[[#This Row],[Coupon Frequency2]])</f>
        <v>2.7255792443462168</v>
      </c>
      <c r="Z531" s="26">
        <f>Table1[[#This Row],[Macaulay Duration in Years]]/(1+Table1[[#This Row],[IRR]])</f>
        <v>2.5159270437873982</v>
      </c>
      <c r="AA531" s="27">
        <f>VLOOKUP(Table1[[#This Row],[Yield Cluster]],'[1]Cluster Details'!$B$3:$C$16,2,0)</f>
        <v>7.8548801574189142E-2</v>
      </c>
      <c r="AB531" s="28">
        <f>PRICE(Table1[[#This Row],[Issue date]],Table1[[#This Row],[Maturity date]],Table1[[#This Row],[Current coupon %]],Table1[[#This Row],[Average Cluster Yield]],100,Table1[[#This Row],[Coupon Frequency2]])*Table1[[#This Row],[Face value]]/100</f>
        <v>101251.6124188165</v>
      </c>
      <c r="AC531" s="27" t="str">
        <f>IF(Table1[[#This Row],[Ask Price]]&gt;Table1[[#This Row],[Calculated Bond Price]],"Rich","Cheap")</f>
        <v>Cheap</v>
      </c>
      <c r="AD531" s="28">
        <f>PRICE(Table1[[#This Row],[Issue date]],Table1[[#This Row],[Maturity date]],Table1[[#This Row],[Current coupon %]],Table1[[#This Row],[Yield (Annualised)]]+$AE$2,100,Table1[[#This Row],[Coupon Frequency2]])*Table1[[#This Row],[Face value]]/100</f>
        <v>97313.189482225236</v>
      </c>
      <c r="AE531" s="28">
        <f>PRICE(Table1[[#This Row],[Issue date]],Table1[[#This Row],[Maturity date]],Table1[[#This Row],[Current coupon %]],Table1[[#This Row],[Yield (Annualised)]]-$AE$2,100,Table1[[#This Row],[Coupon Frequency2]])*Table1[[#This Row],[Face value]]/100</f>
        <v>102694.87813352786</v>
      </c>
      <c r="AF531" s="28">
        <f>(Table1[[#This Row],[P (+ shock)]]+Table1[[#This Row],[P (-shock)]]-2*Table1[[#This Row],[Ask Price]])/(2*Table1[[#This Row],[Ask Price]]*($AE$2^2))</f>
        <v>0.40338078765489627</v>
      </c>
    </row>
    <row r="532" spans="1:32" x14ac:dyDescent="0.25">
      <c r="A532" s="21" t="s">
        <v>1110</v>
      </c>
      <c r="B532" s="3" t="s">
        <v>1111</v>
      </c>
      <c r="C532" s="3" t="s">
        <v>19</v>
      </c>
      <c r="D532" s="4">
        <v>45250</v>
      </c>
      <c r="E532" s="4">
        <v>45981</v>
      </c>
      <c r="F532" s="3">
        <v>100000</v>
      </c>
      <c r="G532" s="3" t="s">
        <v>20</v>
      </c>
      <c r="H532" s="3">
        <v>105071.88</v>
      </c>
      <c r="I532" s="3" t="s">
        <v>20</v>
      </c>
      <c r="J532" s="3">
        <v>105.07187999999999</v>
      </c>
      <c r="K532" s="3">
        <v>1</v>
      </c>
      <c r="L532" s="5">
        <v>8.7499999999999994E-2</v>
      </c>
      <c r="M532" s="3" t="s">
        <v>21</v>
      </c>
      <c r="N532" s="3">
        <v>64</v>
      </c>
      <c r="O532" s="6">
        <f>Table1[[#This Row],[Current coupon %]]*Table1[[#This Row],[Face value]]/Table1[[#This Row],[Ask Price]]</f>
        <v>8.3276324740739385E-2</v>
      </c>
      <c r="P532" s="3"/>
      <c r="Q532" s="3" t="s">
        <v>22</v>
      </c>
      <c r="R532">
        <f t="shared" si="8"/>
        <v>2</v>
      </c>
      <c r="S532" s="22" cm="1">
        <f t="array" ref="S532">_xlfn.IFS(Table1[[#This Row],[Coupon frequency]]="Semi-annual",2,Table1[[#This Row],[Coupon frequency]]="Quarterly",4,Table1[[#This Row],[Coupon frequency]]="Annual",1,Table1[[#This Row],[Coupon frequency]]="Every 4 months",3,Table1[[#This Row],[Coupon frequency]]="Monthly",12)</f>
        <v>1</v>
      </c>
      <c r="T532">
        <f>Table1[[#This Row],[Term to Maturity (Years)]]*Table1[[#This Row],[Coupon Frequency2]]</f>
        <v>2</v>
      </c>
      <c r="U532">
        <f>Table1[[#This Row],[Face value]]*Table1[[#This Row],[Current coupon %]]/Table1[[#This Row],[Coupon Frequency2]]</f>
        <v>8750</v>
      </c>
      <c r="V532" s="23">
        <f>RATE(Table1[[#This Row],[Total No. of Coupons]],Table1[[#This Row],[Coupon Amount]],-Table1[[#This Row],[Ask Price]],Table1[[#This Row],[Face value]])</f>
        <v>5.9842212114261779E-2</v>
      </c>
      <c r="W532" s="24">
        <f>Table1[[#This Row],[IRR]]*Table1[[#This Row],[Coupon Frequency2]]</f>
        <v>5.9842212114261779E-2</v>
      </c>
      <c r="X532" s="25" cm="1">
        <f t="array" ref="X5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2" s="26">
        <f>DURATION(Table1[[#This Row],[Issue date]],Table1[[#This Row],[Maturity date]],Table1[[#This Row],[Current coupon %]],Table1[[#This Row],[Yield (Annualised)]],Table1[[#This Row],[Coupon Frequency2]])</f>
        <v>1.9214257331998319</v>
      </c>
      <c r="Z532" s="26">
        <f>Table1[[#This Row],[Macaulay Duration in Years]]/(1+Table1[[#This Row],[IRR]])</f>
        <v>1.8129356532863614</v>
      </c>
      <c r="AA532" s="27">
        <f>VLOOKUP(Table1[[#This Row],[Yield Cluster]],'[1]Cluster Details'!$B$3:$C$16,2,0)</f>
        <v>7.8548801574189142E-2</v>
      </c>
      <c r="AB532" s="28">
        <f>PRICE(Table1[[#This Row],[Issue date]],Table1[[#This Row],[Maturity date]],Table1[[#This Row],[Current coupon %]],Table1[[#This Row],[Average Cluster Yield]],100,Table1[[#This Row],[Coupon Frequency2]])*Table1[[#This Row],[Face value]]/100</f>
        <v>101599.41737241772</v>
      </c>
      <c r="AC532" s="27" t="str">
        <f>IF(Table1[[#This Row],[Ask Price]]&gt;Table1[[#This Row],[Calculated Bond Price]],"Rich","Cheap")</f>
        <v>Rich</v>
      </c>
      <c r="AD532" s="28">
        <f>PRICE(Table1[[#This Row],[Issue date]],Table1[[#This Row],[Maturity date]],Table1[[#This Row],[Current coupon %]],Table1[[#This Row],[Yield (Annualised)]]+$AE$2,100,Table1[[#This Row],[Coupon Frequency2]])*Table1[[#This Row],[Face value]]/100</f>
        <v>103193.25849367373</v>
      </c>
      <c r="AE532" s="28">
        <f>PRICE(Table1[[#This Row],[Issue date]],Table1[[#This Row],[Maturity date]],Table1[[#This Row],[Current coupon %]],Table1[[#This Row],[Yield (Annualised)]]-$AE$2,100,Table1[[#This Row],[Coupon Frequency2]])*Table1[[#This Row],[Face value]]/100</f>
        <v>107003.69419858677</v>
      </c>
      <c r="AF532" s="28">
        <f>(Table1[[#This Row],[P (+ shock)]]+Table1[[#This Row],[P (-shock)]]-2*Table1[[#This Row],[Ask Price]])/(2*Table1[[#This Row],[Ask Price]]*($AE$2^2))</f>
        <v>2.5312525225821942</v>
      </c>
    </row>
    <row r="533" spans="1:32" x14ac:dyDescent="0.25">
      <c r="A533" s="21" t="s">
        <v>1112</v>
      </c>
      <c r="B533" s="3" t="s">
        <v>1113</v>
      </c>
      <c r="C533" s="3" t="s">
        <v>19</v>
      </c>
      <c r="D533" s="4">
        <v>45322</v>
      </c>
      <c r="E533" s="4">
        <v>46418</v>
      </c>
      <c r="F533" s="3">
        <v>1000</v>
      </c>
      <c r="G533" s="3" t="s">
        <v>20</v>
      </c>
      <c r="H533" s="3">
        <v>1021</v>
      </c>
      <c r="I533" s="3" t="s">
        <v>20</v>
      </c>
      <c r="J533" s="3">
        <v>102.1</v>
      </c>
      <c r="K533" s="3">
        <v>5</v>
      </c>
      <c r="L533" s="5">
        <v>8.5000000000000006E-2</v>
      </c>
      <c r="M533" s="3" t="s">
        <v>21</v>
      </c>
      <c r="N533" s="3">
        <v>501</v>
      </c>
      <c r="O533" s="6">
        <f>Table1[[#This Row],[Current coupon %]]*Table1[[#This Row],[Face value]]/Table1[[#This Row],[Ask Price]]</f>
        <v>8.3251714005876595E-2</v>
      </c>
      <c r="P533" s="3"/>
      <c r="Q533" s="3" t="s">
        <v>22</v>
      </c>
      <c r="R533">
        <f t="shared" si="8"/>
        <v>3</v>
      </c>
      <c r="S533" s="22" cm="1">
        <f t="array" ref="S533">_xlfn.IFS(Table1[[#This Row],[Coupon frequency]]="Semi-annual",2,Table1[[#This Row],[Coupon frequency]]="Quarterly",4,Table1[[#This Row],[Coupon frequency]]="Annual",1,Table1[[#This Row],[Coupon frequency]]="Every 4 months",3,Table1[[#This Row],[Coupon frequency]]="Monthly",12)</f>
        <v>1</v>
      </c>
      <c r="T533">
        <f>Table1[[#This Row],[Term to Maturity (Years)]]*Table1[[#This Row],[Coupon Frequency2]]</f>
        <v>3</v>
      </c>
      <c r="U533">
        <f>Table1[[#This Row],[Face value]]*Table1[[#This Row],[Current coupon %]]/Table1[[#This Row],[Coupon Frequency2]]</f>
        <v>85</v>
      </c>
      <c r="V533" s="23">
        <f>RATE(Table1[[#This Row],[Total No. of Coupons]],Table1[[#This Row],[Coupon Amount]],-Table1[[#This Row],[Ask Price]],Table1[[#This Row],[Face value]])</f>
        <v>7.6896882854994644E-2</v>
      </c>
      <c r="W533" s="24">
        <f>Table1[[#This Row],[IRR]]*Table1[[#This Row],[Coupon Frequency2]]</f>
        <v>7.6896882854994644E-2</v>
      </c>
      <c r="X533" s="25" cm="1">
        <f t="array" ref="X5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3" s="26">
        <f>DURATION(Table1[[#This Row],[Issue date]],Table1[[#This Row],[Maturity date]],Table1[[#This Row],[Current coupon %]],Table1[[#This Row],[Yield (Annualised)]],Table1[[#This Row],[Coupon Frequency2]])</f>
        <v>2.7735990555428236</v>
      </c>
      <c r="Z533" s="26">
        <f>Table1[[#This Row],[Macaulay Duration in Years]]/(1+Table1[[#This Row],[IRR]])</f>
        <v>2.5755474824940054</v>
      </c>
      <c r="AA533" s="27">
        <f>VLOOKUP(Table1[[#This Row],[Yield Cluster]],'[1]Cluster Details'!$B$3:$C$16,2,0)</f>
        <v>7.8548801574189142E-2</v>
      </c>
      <c r="AB533" s="28">
        <f>PRICE(Table1[[#This Row],[Issue date]],Table1[[#This Row],[Maturity date]],Table1[[#This Row],[Current coupon %]],Table1[[#This Row],[Average Cluster Yield]],100,Table1[[#This Row],[Coupon Frequency2]])*Table1[[#This Row],[Face value]]/100</f>
        <v>1016.668994467577</v>
      </c>
      <c r="AC533" s="27" t="str">
        <f>IF(Table1[[#This Row],[Ask Price]]&gt;Table1[[#This Row],[Calculated Bond Price]],"Rich","Cheap")</f>
        <v>Rich</v>
      </c>
      <c r="AD533" s="28">
        <f>PRICE(Table1[[#This Row],[Issue date]],Table1[[#This Row],[Maturity date]],Table1[[#This Row],[Current coupon %]],Table1[[#This Row],[Yield (Annualised)]]+$AE$2,100,Table1[[#This Row],[Coupon Frequency2]])*Table1[[#This Row],[Face value]]/100</f>
        <v>995.17175109533525</v>
      </c>
      <c r="AE533" s="28">
        <f>PRICE(Table1[[#This Row],[Issue date]],Table1[[#This Row],[Maturity date]],Table1[[#This Row],[Current coupon %]],Table1[[#This Row],[Yield (Annualised)]]-$AE$2,100,Table1[[#This Row],[Coupon Frequency2]])*Table1[[#This Row],[Face value]]/100</f>
        <v>1047.7789419988324</v>
      </c>
      <c r="AF533" s="28">
        <f>(Table1[[#This Row],[P (+ shock)]]+Table1[[#This Row],[P (-shock)]]-2*Table1[[#This Row],[Ask Price]])/(2*Table1[[#This Row],[Ask Price]]*($AE$2^2))</f>
        <v>4.6556958578231677</v>
      </c>
    </row>
    <row r="534" spans="1:32" x14ac:dyDescent="0.25">
      <c r="A534" s="21" t="s">
        <v>1114</v>
      </c>
      <c r="B534" s="3" t="s">
        <v>1115</v>
      </c>
      <c r="C534" s="3" t="s">
        <v>19</v>
      </c>
      <c r="D534" s="4">
        <v>44868</v>
      </c>
      <c r="E534" s="4">
        <v>45964</v>
      </c>
      <c r="F534" s="3">
        <v>1000</v>
      </c>
      <c r="G534" s="3" t="s">
        <v>20</v>
      </c>
      <c r="H534" s="3">
        <v>1057.2</v>
      </c>
      <c r="I534" s="3" t="s">
        <v>20</v>
      </c>
      <c r="J534" s="3">
        <v>105.72</v>
      </c>
      <c r="K534" s="3">
        <v>25</v>
      </c>
      <c r="L534" s="5">
        <v>8.8000000000000009E-2</v>
      </c>
      <c r="M534" s="3" t="s">
        <v>21</v>
      </c>
      <c r="N534" s="3">
        <v>47</v>
      </c>
      <c r="O534" s="6">
        <f>Table1[[#This Row],[Current coupon %]]*Table1[[#This Row],[Face value]]/Table1[[#This Row],[Ask Price]]</f>
        <v>8.32387438516837E-2</v>
      </c>
      <c r="P534" s="3" t="s">
        <v>25</v>
      </c>
      <c r="Q534" s="3" t="s">
        <v>22</v>
      </c>
      <c r="R534">
        <f t="shared" si="8"/>
        <v>3</v>
      </c>
      <c r="S534" s="22" cm="1">
        <f t="array" ref="S534">_xlfn.IFS(Table1[[#This Row],[Coupon frequency]]="Semi-annual",2,Table1[[#This Row],[Coupon frequency]]="Quarterly",4,Table1[[#This Row],[Coupon frequency]]="Annual",1,Table1[[#This Row],[Coupon frequency]]="Every 4 months",3,Table1[[#This Row],[Coupon frequency]]="Monthly",12)</f>
        <v>1</v>
      </c>
      <c r="T534">
        <f>Table1[[#This Row],[Term to Maturity (Years)]]*Table1[[#This Row],[Coupon Frequency2]]</f>
        <v>3</v>
      </c>
      <c r="U534">
        <f>Table1[[#This Row],[Face value]]*Table1[[#This Row],[Current coupon %]]/Table1[[#This Row],[Coupon Frequency2]]</f>
        <v>88.000000000000014</v>
      </c>
      <c r="V534" s="23">
        <f>RATE(Table1[[#This Row],[Total No. of Coupons]],Table1[[#This Row],[Coupon Amount]],-Table1[[#This Row],[Ask Price]],Table1[[#This Row],[Face value]])</f>
        <v>6.6349080227114929E-2</v>
      </c>
      <c r="W534" s="24">
        <f>Table1[[#This Row],[IRR]]*Table1[[#This Row],[Coupon Frequency2]]</f>
        <v>6.6349080227114929E-2</v>
      </c>
      <c r="X534" s="25" cm="1">
        <f t="array" ref="X5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4" s="26">
        <f>DURATION(Table1[[#This Row],[Issue date]],Table1[[#This Row],[Maturity date]],Table1[[#This Row],[Current coupon %]],Table1[[#This Row],[Yield (Annualised)]],Table1[[#This Row],[Coupon Frequency2]])</f>
        <v>2.77067823675914</v>
      </c>
      <c r="Z534" s="26">
        <f>Table1[[#This Row],[Macaulay Duration in Years]]/(1+Table1[[#This Row],[IRR]])</f>
        <v>2.5982844531258289</v>
      </c>
      <c r="AA534" s="27">
        <f>VLOOKUP(Table1[[#This Row],[Yield Cluster]],'[1]Cluster Details'!$B$3:$C$16,2,0)</f>
        <v>7.8548801574189142E-2</v>
      </c>
      <c r="AB534" s="28">
        <f>PRICE(Table1[[#This Row],[Issue date]],Table1[[#This Row],[Maturity date]],Table1[[#This Row],[Current coupon %]],Table1[[#This Row],[Average Cluster Yield]],100,Table1[[#This Row],[Coupon Frequency2]])*Table1[[#This Row],[Face value]]/100</f>
        <v>1024.4205748875274</v>
      </c>
      <c r="AC534" s="27" t="str">
        <f>IF(Table1[[#This Row],[Ask Price]]&gt;Table1[[#This Row],[Calculated Bond Price]],"Rich","Cheap")</f>
        <v>Rich</v>
      </c>
      <c r="AD534" s="28">
        <f>PRICE(Table1[[#This Row],[Issue date]],Table1[[#This Row],[Maturity date]],Table1[[#This Row],[Current coupon %]],Table1[[#This Row],[Yield (Annualised)]]+$AE$2,100,Table1[[#This Row],[Coupon Frequency2]])*Table1[[#This Row],[Face value]]/100</f>
        <v>1030.22445470397</v>
      </c>
      <c r="AE534" s="28">
        <f>PRICE(Table1[[#This Row],[Issue date]],Table1[[#This Row],[Maturity date]],Table1[[#This Row],[Current coupon %]],Table1[[#This Row],[Yield (Annualised)]]-$AE$2,100,Table1[[#This Row],[Coupon Frequency2]])*Table1[[#This Row],[Face value]]/100</f>
        <v>1085.1780307321721</v>
      </c>
      <c r="AF534" s="28">
        <f>(Table1[[#This Row],[P (+ shock)]]+Table1[[#This Row],[P (-shock)]]-2*Table1[[#This Row],[Ask Price]])/(2*Table1[[#This Row],[Ask Price]]*($AE$2^2))</f>
        <v>4.7412288883004692</v>
      </c>
    </row>
    <row r="535" spans="1:32" x14ac:dyDescent="0.25">
      <c r="A535" s="21" t="s">
        <v>1116</v>
      </c>
      <c r="B535" s="3" t="s">
        <v>1117</v>
      </c>
      <c r="C535" s="3" t="s">
        <v>19</v>
      </c>
      <c r="D535" s="4">
        <v>42705</v>
      </c>
      <c r="E535" s="4">
        <v>46357</v>
      </c>
      <c r="F535" s="3">
        <v>1000000</v>
      </c>
      <c r="G535" s="3" t="s">
        <v>20</v>
      </c>
      <c r="H535" s="3">
        <v>1021723</v>
      </c>
      <c r="I535" s="3" t="s">
        <v>20</v>
      </c>
      <c r="J535" s="3">
        <v>102.172299999999</v>
      </c>
      <c r="K535" s="3">
        <v>1</v>
      </c>
      <c r="L535" s="5">
        <v>8.5000000000000006E-2</v>
      </c>
      <c r="M535" s="3" t="s">
        <v>21</v>
      </c>
      <c r="N535" s="3">
        <v>440</v>
      </c>
      <c r="O535" s="6">
        <f>Table1[[#This Row],[Current coupon %]]*Table1[[#This Row],[Face value]]/Table1[[#This Row],[Ask Price]]</f>
        <v>8.3192802745949729E-2</v>
      </c>
      <c r="P535" s="3" t="s">
        <v>97</v>
      </c>
      <c r="Q535" s="3" t="s">
        <v>22</v>
      </c>
      <c r="R535">
        <f t="shared" si="8"/>
        <v>10</v>
      </c>
      <c r="S535" s="22" cm="1">
        <f t="array" ref="S535">_xlfn.IFS(Table1[[#This Row],[Coupon frequency]]="Semi-annual",2,Table1[[#This Row],[Coupon frequency]]="Quarterly",4,Table1[[#This Row],[Coupon frequency]]="Annual",1,Table1[[#This Row],[Coupon frequency]]="Every 4 months",3,Table1[[#This Row],[Coupon frequency]]="Monthly",12)</f>
        <v>1</v>
      </c>
      <c r="T535">
        <f>Table1[[#This Row],[Term to Maturity (Years)]]*Table1[[#This Row],[Coupon Frequency2]]</f>
        <v>10</v>
      </c>
      <c r="U535">
        <f>Table1[[#This Row],[Face value]]*Table1[[#This Row],[Current coupon %]]/Table1[[#This Row],[Coupon Frequency2]]</f>
        <v>85000</v>
      </c>
      <c r="V535" s="23">
        <f>RATE(Table1[[#This Row],[Total No. of Coupons]],Table1[[#This Row],[Coupon Amount]],-Table1[[#This Row],[Ask Price]],Table1[[#This Row],[Face value]])</f>
        <v>8.1737220045500616E-2</v>
      </c>
      <c r="W535" s="24">
        <f>Table1[[#This Row],[IRR]]*Table1[[#This Row],[Coupon Frequency2]]</f>
        <v>8.1737220045500616E-2</v>
      </c>
      <c r="X535" s="25" cm="1">
        <f t="array" ref="X5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5" s="26">
        <f>DURATION(Table1[[#This Row],[Issue date]],Table1[[#This Row],[Maturity date]],Table1[[#This Row],[Current coupon %]],Table1[[#This Row],[Yield (Annualised)]],Table1[[#This Row],[Coupon Frequency2]])</f>
        <v>7.1521843552249189</v>
      </c>
      <c r="Z535" s="26">
        <f>Table1[[#This Row],[Macaulay Duration in Years]]/(1+Table1[[#This Row],[IRR]])</f>
        <v>6.6117576641433118</v>
      </c>
      <c r="AA535" s="27">
        <f>VLOOKUP(Table1[[#This Row],[Yield Cluster]],'[1]Cluster Details'!$B$3:$C$16,2,0)</f>
        <v>7.8548801574189142E-2</v>
      </c>
      <c r="AB535" s="28">
        <f>PRICE(Table1[[#This Row],[Issue date]],Table1[[#This Row],[Maturity date]],Table1[[#This Row],[Current coupon %]],Table1[[#This Row],[Average Cluster Yield]],100,Table1[[#This Row],[Coupon Frequency2]])*Table1[[#This Row],[Face value]]/100</f>
        <v>1043572.8494498022</v>
      </c>
      <c r="AC535" s="27" t="str">
        <f>IF(Table1[[#This Row],[Ask Price]]&gt;Table1[[#This Row],[Calculated Bond Price]],"Rich","Cheap")</f>
        <v>Cheap</v>
      </c>
      <c r="AD535" s="28">
        <f>PRICE(Table1[[#This Row],[Issue date]],Table1[[#This Row],[Maturity date]],Table1[[#This Row],[Current coupon %]],Table1[[#This Row],[Yield (Annualised)]]+$AE$2,100,Table1[[#This Row],[Coupon Frequency2]])*Table1[[#This Row],[Face value]]/100</f>
        <v>957091.49028847564</v>
      </c>
      <c r="AE535" s="28">
        <f>PRICE(Table1[[#This Row],[Issue date]],Table1[[#This Row],[Maturity date]],Table1[[#This Row],[Current coupon %]],Table1[[#This Row],[Yield (Annualised)]]-$AE$2,100,Table1[[#This Row],[Coupon Frequency2]])*Table1[[#This Row],[Face value]]/100</f>
        <v>1092408.7540924652</v>
      </c>
      <c r="AF535" s="28">
        <f>(Table1[[#This Row],[P (+ shock)]]+Table1[[#This Row],[P (-shock)]]-2*Table1[[#This Row],[Ask Price]])/(2*Table1[[#This Row],[Ask Price]]*($AE$2^2))</f>
        <v>29.627621091727811</v>
      </c>
    </row>
    <row r="536" spans="1:32" x14ac:dyDescent="0.25">
      <c r="A536" s="21" t="s">
        <v>1118</v>
      </c>
      <c r="B536" s="3" t="s">
        <v>1119</v>
      </c>
      <c r="C536" s="3" t="s">
        <v>19</v>
      </c>
      <c r="D536" s="4">
        <v>45653</v>
      </c>
      <c r="E536" s="4">
        <v>46748</v>
      </c>
      <c r="F536" s="3">
        <v>1000</v>
      </c>
      <c r="G536" s="3" t="s">
        <v>20</v>
      </c>
      <c r="H536" s="3">
        <v>1199</v>
      </c>
      <c r="I536" s="3" t="s">
        <v>20</v>
      </c>
      <c r="J536" s="3">
        <v>119.9</v>
      </c>
      <c r="K536" s="3">
        <v>401</v>
      </c>
      <c r="L536" s="5">
        <v>9.9000000000000005E-2</v>
      </c>
      <c r="M536" s="3" t="s">
        <v>21</v>
      </c>
      <c r="N536" s="3">
        <v>831</v>
      </c>
      <c r="O536" s="6">
        <f>Table1[[#This Row],[Current coupon %]]*Table1[[#This Row],[Face value]]/Table1[[#This Row],[Ask Price]]</f>
        <v>8.2568807339449546E-2</v>
      </c>
      <c r="P536" s="3" t="s">
        <v>25</v>
      </c>
      <c r="Q536" s="3" t="s">
        <v>22</v>
      </c>
      <c r="R536">
        <f t="shared" si="8"/>
        <v>3</v>
      </c>
      <c r="S536" s="22" cm="1">
        <f t="array" ref="S536">_xlfn.IFS(Table1[[#This Row],[Coupon frequency]]="Semi-annual",2,Table1[[#This Row],[Coupon frequency]]="Quarterly",4,Table1[[#This Row],[Coupon frequency]]="Annual",1,Table1[[#This Row],[Coupon frequency]]="Every 4 months",3,Table1[[#This Row],[Coupon frequency]]="Monthly",12)</f>
        <v>1</v>
      </c>
      <c r="T536">
        <f>Table1[[#This Row],[Term to Maturity (Years)]]*Table1[[#This Row],[Coupon Frequency2]]</f>
        <v>3</v>
      </c>
      <c r="U536">
        <f>Table1[[#This Row],[Face value]]*Table1[[#This Row],[Current coupon %]]/Table1[[#This Row],[Coupon Frequency2]]</f>
        <v>99</v>
      </c>
      <c r="V536" s="23">
        <f>RATE(Table1[[#This Row],[Total No. of Coupons]],Table1[[#This Row],[Coupon Amount]],-Table1[[#This Row],[Ask Price]],Table1[[#This Row],[Face value]])</f>
        <v>2.8808553953244009E-2</v>
      </c>
      <c r="W536" s="24">
        <f>Table1[[#This Row],[IRR]]*Table1[[#This Row],[Coupon Frequency2]]</f>
        <v>2.8808553953244009E-2</v>
      </c>
      <c r="X536" s="25" cm="1">
        <f t="array" ref="X5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536" s="26">
        <f>DURATION(Table1[[#This Row],[Issue date]],Table1[[#This Row],[Maturity date]],Table1[[#This Row],[Current coupon %]],Table1[[#This Row],[Yield (Annualised)]],Table1[[#This Row],[Coupon Frequency2]])</f>
        <v>2.7614771564417766</v>
      </c>
      <c r="Z536" s="26">
        <f>Table1[[#This Row],[Macaulay Duration in Years]]/(1+Table1[[#This Row],[IRR]])</f>
        <v>2.6841506574091687</v>
      </c>
      <c r="AA536" s="27">
        <f>VLOOKUP(Table1[[#This Row],[Yield Cluster]],'[1]Cluster Details'!$B$3:$C$16,2,0)</f>
        <v>3.4641747232266588E-2</v>
      </c>
      <c r="AB536" s="28">
        <f>PRICE(Table1[[#This Row],[Issue date]],Table1[[#This Row],[Maturity date]],Table1[[#This Row],[Current coupon %]],Table1[[#This Row],[Average Cluster Yield]],100,Table1[[#This Row],[Coupon Frequency2]])*Table1[[#This Row],[Face value]]/100</f>
        <v>1180.4319239061419</v>
      </c>
      <c r="AC536" s="27" t="str">
        <f>IF(Table1[[#This Row],[Ask Price]]&gt;Table1[[#This Row],[Calculated Bond Price]],"Rich","Cheap")</f>
        <v>Rich</v>
      </c>
      <c r="AD536" s="28">
        <f>PRICE(Table1[[#This Row],[Issue date]],Table1[[#This Row],[Maturity date]],Table1[[#This Row],[Current coupon %]],Table1[[#This Row],[Yield (Annualised)]]+$AE$2,100,Table1[[#This Row],[Coupon Frequency2]])*Table1[[#This Row],[Face value]]/100</f>
        <v>1167.4151792874914</v>
      </c>
      <c r="AE536" s="28">
        <f>PRICE(Table1[[#This Row],[Issue date]],Table1[[#This Row],[Maturity date]],Table1[[#This Row],[Current coupon %]],Table1[[#This Row],[Yield (Annualised)]]-$AE$2,100,Table1[[#This Row],[Coupon Frequency2]])*Table1[[#This Row],[Face value]]/100</f>
        <v>1231.8005159147133</v>
      </c>
      <c r="AF536" s="28">
        <f>(Table1[[#This Row],[P (+ shock)]]+Table1[[#This Row],[P (-shock)]]-2*Table1[[#This Row],[Ask Price]])/(2*Table1[[#This Row],[Ask Price]]*($AE$2^2))</f>
        <v>5.0696213603196103</v>
      </c>
    </row>
    <row r="537" spans="1:32" x14ac:dyDescent="0.25">
      <c r="A537" s="21" t="s">
        <v>1120</v>
      </c>
      <c r="B537" s="3" t="s">
        <v>1121</v>
      </c>
      <c r="C537" s="3" t="s">
        <v>19</v>
      </c>
      <c r="D537" s="4">
        <v>40868</v>
      </c>
      <c r="E537" s="4">
        <v>46347</v>
      </c>
      <c r="F537" s="3">
        <v>5000</v>
      </c>
      <c r="G537" s="3" t="s">
        <v>20</v>
      </c>
      <c r="H537" s="3">
        <v>5300</v>
      </c>
      <c r="I537" s="3" t="s">
        <v>20</v>
      </c>
      <c r="J537" s="3">
        <v>106</v>
      </c>
      <c r="K537" s="3">
        <v>4</v>
      </c>
      <c r="L537" s="5">
        <v>8.7499999999999994E-2</v>
      </c>
      <c r="M537" s="3" t="s">
        <v>21</v>
      </c>
      <c r="N537" s="3">
        <v>430</v>
      </c>
      <c r="O537" s="6">
        <f>Table1[[#This Row],[Current coupon %]]*Table1[[#This Row],[Face value]]/Table1[[#This Row],[Ask Price]]</f>
        <v>8.254716981132075E-2</v>
      </c>
      <c r="P537" s="3" t="s">
        <v>54</v>
      </c>
      <c r="Q537" s="3" t="s">
        <v>22</v>
      </c>
      <c r="R537">
        <f t="shared" si="8"/>
        <v>15</v>
      </c>
      <c r="S537" s="22" cm="1">
        <f t="array" ref="S537">_xlfn.IFS(Table1[[#This Row],[Coupon frequency]]="Semi-annual",2,Table1[[#This Row],[Coupon frequency]]="Quarterly",4,Table1[[#This Row],[Coupon frequency]]="Annual",1,Table1[[#This Row],[Coupon frequency]]="Every 4 months",3,Table1[[#This Row],[Coupon frequency]]="Monthly",12)</f>
        <v>1</v>
      </c>
      <c r="T537">
        <f>Table1[[#This Row],[Term to Maturity (Years)]]*Table1[[#This Row],[Coupon Frequency2]]</f>
        <v>15</v>
      </c>
      <c r="U537">
        <f>Table1[[#This Row],[Face value]]*Table1[[#This Row],[Current coupon %]]/Table1[[#This Row],[Coupon Frequency2]]</f>
        <v>437.5</v>
      </c>
      <c r="V537" s="23">
        <f>RATE(Table1[[#This Row],[Total No. of Coupons]],Table1[[#This Row],[Coupon Amount]],-Table1[[#This Row],[Ask Price]],Table1[[#This Row],[Face value]])</f>
        <v>8.0470093686773117E-2</v>
      </c>
      <c r="W537" s="24">
        <f>Table1[[#This Row],[IRR]]*Table1[[#This Row],[Coupon Frequency2]]</f>
        <v>8.0470093686773117E-2</v>
      </c>
      <c r="X537" s="25" cm="1">
        <f t="array" ref="X5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7" s="26">
        <f>DURATION(Table1[[#This Row],[Issue date]],Table1[[#This Row],[Maturity date]],Table1[[#This Row],[Current coupon %]],Table1[[#This Row],[Yield (Annualised)]],Table1[[#This Row],[Coupon Frequency2]])</f>
        <v>9.0726274788426036</v>
      </c>
      <c r="Z537" s="26">
        <f>Table1[[#This Row],[Macaulay Duration in Years]]/(1+Table1[[#This Row],[IRR]])</f>
        <v>8.3969260527008593</v>
      </c>
      <c r="AA537" s="27">
        <f>VLOOKUP(Table1[[#This Row],[Yield Cluster]],'[1]Cluster Details'!$B$3:$C$16,2,0)</f>
        <v>7.8548801574189142E-2</v>
      </c>
      <c r="AB537" s="28">
        <f>PRICE(Table1[[#This Row],[Issue date]],Table1[[#This Row],[Maturity date]],Table1[[#This Row],[Current coupon %]],Table1[[#This Row],[Average Cluster Yield]],100,Table1[[#This Row],[Coupon Frequency2]])*Table1[[#This Row],[Face value]]/100</f>
        <v>5386.5059989044958</v>
      </c>
      <c r="AC537" s="27" t="str">
        <f>IF(Table1[[#This Row],[Ask Price]]&gt;Table1[[#This Row],[Calculated Bond Price]],"Rich","Cheap")</f>
        <v>Cheap</v>
      </c>
      <c r="AD537" s="28">
        <f>PRICE(Table1[[#This Row],[Issue date]],Table1[[#This Row],[Maturity date]],Table1[[#This Row],[Current coupon %]],Table1[[#This Row],[Yield (Annualised)]]+$AE$2,100,Table1[[#This Row],[Coupon Frequency2]])*Table1[[#This Row],[Face value]]/100</f>
        <v>4880.6264737557331</v>
      </c>
      <c r="AE537" s="28">
        <f>PRICE(Table1[[#This Row],[Issue date]],Table1[[#This Row],[Maturity date]],Table1[[#This Row],[Current coupon %]],Table1[[#This Row],[Yield (Annualised)]]-$AE$2,100,Table1[[#This Row],[Coupon Frequency2]])*Table1[[#This Row],[Face value]]/100</f>
        <v>5773.2371449548509</v>
      </c>
      <c r="AF537" s="28">
        <f>(Table1[[#This Row],[P (+ shock)]]+Table1[[#This Row],[P (-shock)]]-2*Table1[[#This Row],[Ask Price]])/(2*Table1[[#This Row],[Ask Price]]*($AE$2^2))</f>
        <v>50.81473463262639</v>
      </c>
    </row>
    <row r="538" spans="1:32" x14ac:dyDescent="0.25">
      <c r="A538" s="21" t="s">
        <v>1122</v>
      </c>
      <c r="B538" s="3" t="s">
        <v>1123</v>
      </c>
      <c r="C538" s="3" t="s">
        <v>19</v>
      </c>
      <c r="D538" s="4">
        <v>40633</v>
      </c>
      <c r="E538" s="4">
        <v>46112</v>
      </c>
      <c r="F538" s="3">
        <v>5000</v>
      </c>
      <c r="G538" s="3" t="s">
        <v>20</v>
      </c>
      <c r="H538" s="3">
        <v>5150</v>
      </c>
      <c r="I538" s="3" t="s">
        <v>20</v>
      </c>
      <c r="J538" s="3">
        <v>103</v>
      </c>
      <c r="K538" s="3">
        <v>2</v>
      </c>
      <c r="L538" s="5">
        <v>8.5000000000000006E-2</v>
      </c>
      <c r="M538" s="3" t="s">
        <v>21</v>
      </c>
      <c r="N538" s="3">
        <v>195</v>
      </c>
      <c r="O538" s="6">
        <f>Table1[[#This Row],[Current coupon %]]*Table1[[#This Row],[Face value]]/Table1[[#This Row],[Ask Price]]</f>
        <v>8.2524271844660199E-2</v>
      </c>
      <c r="P538" s="3" t="s">
        <v>54</v>
      </c>
      <c r="Q538" s="3" t="s">
        <v>22</v>
      </c>
      <c r="R538">
        <f t="shared" si="8"/>
        <v>15</v>
      </c>
      <c r="S538" s="22" cm="1">
        <f t="array" ref="S538">_xlfn.IFS(Table1[[#This Row],[Coupon frequency]]="Semi-annual",2,Table1[[#This Row],[Coupon frequency]]="Quarterly",4,Table1[[#This Row],[Coupon frequency]]="Annual",1,Table1[[#This Row],[Coupon frequency]]="Every 4 months",3,Table1[[#This Row],[Coupon frequency]]="Monthly",12)</f>
        <v>1</v>
      </c>
      <c r="T538">
        <f>Table1[[#This Row],[Term to Maturity (Years)]]*Table1[[#This Row],[Coupon Frequency2]]</f>
        <v>15</v>
      </c>
      <c r="U538">
        <f>Table1[[#This Row],[Face value]]*Table1[[#This Row],[Current coupon %]]/Table1[[#This Row],[Coupon Frequency2]]</f>
        <v>425.00000000000006</v>
      </c>
      <c r="V538" s="23">
        <f>RATE(Table1[[#This Row],[Total No. of Coupons]],Table1[[#This Row],[Coupon Amount]],-Table1[[#This Row],[Ask Price]],Table1[[#This Row],[Face value]])</f>
        <v>8.1463726427210836E-2</v>
      </c>
      <c r="W538" s="24">
        <f>Table1[[#This Row],[IRR]]*Table1[[#This Row],[Coupon Frequency2]]</f>
        <v>8.1463726427210836E-2</v>
      </c>
      <c r="X538" s="25" cm="1">
        <f t="array" ref="X5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38" s="26">
        <f>DURATION(Table1[[#This Row],[Issue date]],Table1[[#This Row],[Maturity date]],Table1[[#This Row],[Current coupon %]],Table1[[#This Row],[Yield (Annualised)]],Table1[[#This Row],[Coupon Frequency2]])</f>
        <v>9.0987659838514929</v>
      </c>
      <c r="Z538" s="26">
        <f>Table1[[#This Row],[Macaulay Duration in Years]]/(1+Table1[[#This Row],[IRR]])</f>
        <v>8.4133806446848922</v>
      </c>
      <c r="AA538" s="27">
        <f>VLOOKUP(Table1[[#This Row],[Yield Cluster]],'[1]Cluster Details'!$B$3:$C$16,2,0)</f>
        <v>7.8548801574189142E-2</v>
      </c>
      <c r="AB538" s="28">
        <f>PRICE(Table1[[#This Row],[Issue date]],Table1[[#This Row],[Maturity date]],Table1[[#This Row],[Current coupon %]],Table1[[#This Row],[Average Cluster Yield]],100,Table1[[#This Row],[Coupon Frequency2]])*Table1[[#This Row],[Face value]]/100</f>
        <v>5278.5578838817073</v>
      </c>
      <c r="AC538" s="27" t="str">
        <f>IF(Table1[[#This Row],[Ask Price]]&gt;Table1[[#This Row],[Calculated Bond Price]],"Rich","Cheap")</f>
        <v>Cheap</v>
      </c>
      <c r="AD538" s="28">
        <f>PRICE(Table1[[#This Row],[Issue date]],Table1[[#This Row],[Maturity date]],Table1[[#This Row],[Current coupon %]],Table1[[#This Row],[Yield (Annualised)]]+$AE$2,100,Table1[[#This Row],[Coupon Frequency2]])*Table1[[#This Row],[Face value]]/100</f>
        <v>4741.7254195077721</v>
      </c>
      <c r="AE538" s="28">
        <f>PRICE(Table1[[#This Row],[Issue date]],Table1[[#This Row],[Maturity date]],Table1[[#This Row],[Current coupon %]],Table1[[#This Row],[Yield (Annualised)]]-$AE$2,100,Table1[[#This Row],[Coupon Frequency2]])*Table1[[#This Row],[Face value]]/100</f>
        <v>5610.7772821371245</v>
      </c>
      <c r="AF538" s="28">
        <f>(Table1[[#This Row],[P (+ shock)]]+Table1[[#This Row],[P (-shock)]]-2*Table1[[#This Row],[Ask Price]])/(2*Table1[[#This Row],[Ask Price]]*($AE$2^2))</f>
        <v>50.973496742618117</v>
      </c>
    </row>
    <row r="539" spans="1:32" x14ac:dyDescent="0.25">
      <c r="A539" s="21" t="s">
        <v>98</v>
      </c>
      <c r="B539" s="3" t="s">
        <v>99</v>
      </c>
      <c r="C539" s="3" t="s">
        <v>19</v>
      </c>
      <c r="D539" s="4">
        <v>44959</v>
      </c>
      <c r="E539" s="4">
        <v>46144</v>
      </c>
      <c r="F539" s="3">
        <v>1000</v>
      </c>
      <c r="G539" s="3" t="s">
        <v>20</v>
      </c>
      <c r="H539" s="3">
        <v>1170</v>
      </c>
      <c r="I539" s="3" t="s">
        <v>20</v>
      </c>
      <c r="J539" s="3">
        <v>117</v>
      </c>
      <c r="K539" s="3">
        <v>70</v>
      </c>
      <c r="L539" s="5">
        <v>9.6500000000000002E-2</v>
      </c>
      <c r="M539" s="3" t="s">
        <v>44</v>
      </c>
      <c r="N539" s="3">
        <v>227</v>
      </c>
      <c r="O539" s="6">
        <f>Table1[[#This Row],[Current coupon %]]*Table1[[#This Row],[Face value]]/Table1[[#This Row],[Ask Price]]</f>
        <v>8.2478632478632477E-2</v>
      </c>
      <c r="P539" s="3"/>
      <c r="Q539" s="3" t="s">
        <v>22</v>
      </c>
      <c r="R539">
        <f t="shared" si="8"/>
        <v>3</v>
      </c>
      <c r="S539" s="22" cm="1">
        <f t="array" ref="S539">_xlfn.IFS(Table1[[#This Row],[Coupon frequency]]="Semi-annual",2,Table1[[#This Row],[Coupon frequency]]="Quarterly",4,Table1[[#This Row],[Coupon frequency]]="Annual",1,Table1[[#This Row],[Coupon frequency]]="Every 4 months",3,Table1[[#This Row],[Coupon frequency]]="Monthly",12)</f>
        <v>4</v>
      </c>
      <c r="T539">
        <f>Table1[[#This Row],[Term to Maturity (Years)]]*Table1[[#This Row],[Coupon Frequency2]]</f>
        <v>12</v>
      </c>
      <c r="U539">
        <f>Table1[[#This Row],[Face value]]*Table1[[#This Row],[Current coupon %]]/Table1[[#This Row],[Coupon Frequency2]]</f>
        <v>24.125</v>
      </c>
      <c r="V539" s="23">
        <f>RATE(Table1[[#This Row],[Total No. of Coupons]],Table1[[#This Row],[Coupon Amount]],-Table1[[#This Row],[Ask Price]],Table1[[#This Row],[Face value]])</f>
        <v>9.1058997726313762E-3</v>
      </c>
      <c r="W539" s="24">
        <f>Table1[[#This Row],[IRR]]*Table1[[#This Row],[Coupon Frequency2]]</f>
        <v>3.6423599090525505E-2</v>
      </c>
      <c r="X539" s="25" cm="1">
        <f t="array" ref="X5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539" s="26">
        <f>DURATION(Table1[[#This Row],[Issue date]],Table1[[#This Row],[Maturity date]],Table1[[#This Row],[Current coupon %]],Table1[[#This Row],[Yield (Annualised)]],Table1[[#This Row],[Coupon Frequency2]])</f>
        <v>2.8687856066281028</v>
      </c>
      <c r="Z539" s="26">
        <f>Table1[[#This Row],[Macaulay Duration in Years]]/(1+Table1[[#This Row],[IRR]])</f>
        <v>2.8428984582039294</v>
      </c>
      <c r="AA539" s="27">
        <f>VLOOKUP(Table1[[#This Row],[Yield Cluster]],'[1]Cluster Details'!$B$3:$C$16,2,0)</f>
        <v>3.4641747232266588E-2</v>
      </c>
      <c r="AB539" s="28">
        <f>PRICE(Table1[[#This Row],[Issue date]],Table1[[#This Row],[Maturity date]],Table1[[#This Row],[Current coupon %]],Table1[[#This Row],[Average Cluster Yield]],100,Table1[[#This Row],[Coupon Frequency2]])*Table1[[#This Row],[Face value]]/100</f>
        <v>1189.3616960752815</v>
      </c>
      <c r="AC539" s="27" t="str">
        <f>IF(Table1[[#This Row],[Ask Price]]&gt;Table1[[#This Row],[Calculated Bond Price]],"Rich","Cheap")</f>
        <v>Cheap</v>
      </c>
      <c r="AD539" s="28">
        <f>PRICE(Table1[[#This Row],[Issue date]],Table1[[#This Row],[Maturity date]],Table1[[#This Row],[Current coupon %]],Table1[[#This Row],[Yield (Annualised)]]+$AE$2,100,Table1[[#This Row],[Coupon Frequency2]])*Table1[[#This Row],[Face value]]/100</f>
        <v>1150.2594179297741</v>
      </c>
      <c r="AE539" s="28">
        <f>PRICE(Table1[[#This Row],[Issue date]],Table1[[#This Row],[Maturity date]],Table1[[#This Row],[Current coupon %]],Table1[[#This Row],[Yield (Annualised)]]-$AE$2,100,Table1[[#This Row],[Coupon Frequency2]])*Table1[[#This Row],[Face value]]/100</f>
        <v>1217.5557829023328</v>
      </c>
      <c r="AF539" s="28">
        <f>(Table1[[#This Row],[P (+ shock)]]+Table1[[#This Row],[P (-shock)]]-2*Table1[[#This Row],[Ask Price]])/(2*Table1[[#This Row],[Ask Price]]*($AE$2^2))</f>
        <v>118.86837962438764</v>
      </c>
    </row>
    <row r="540" spans="1:32" x14ac:dyDescent="0.25">
      <c r="A540" s="21" t="s">
        <v>1124</v>
      </c>
      <c r="B540" s="3" t="s">
        <v>1125</v>
      </c>
      <c r="C540" s="3" t="s">
        <v>19</v>
      </c>
      <c r="D540" s="4">
        <v>45050</v>
      </c>
      <c r="E540" s="4">
        <v>46877</v>
      </c>
      <c r="F540" s="3">
        <v>1000</v>
      </c>
      <c r="G540" s="3" t="s">
        <v>20</v>
      </c>
      <c r="H540" s="3">
        <v>1019.03</v>
      </c>
      <c r="I540" s="3" t="s">
        <v>20</v>
      </c>
      <c r="J540" s="3">
        <v>101.902999999999</v>
      </c>
      <c r="K540" s="3">
        <v>10</v>
      </c>
      <c r="L540" s="5">
        <v>8.4000000000000005E-2</v>
      </c>
      <c r="M540" s="3" t="s">
        <v>21</v>
      </c>
      <c r="N540" s="3">
        <v>960</v>
      </c>
      <c r="O540" s="6">
        <f>Table1[[#This Row],[Current coupon %]]*Table1[[#This Row],[Face value]]/Table1[[#This Row],[Ask Price]]</f>
        <v>8.2431331756670556E-2</v>
      </c>
      <c r="P540" s="3"/>
      <c r="Q540" s="3" t="s">
        <v>22</v>
      </c>
      <c r="R540">
        <f t="shared" si="8"/>
        <v>5</v>
      </c>
      <c r="S540" s="22" cm="1">
        <f t="array" ref="S540">_xlfn.IFS(Table1[[#This Row],[Coupon frequency]]="Semi-annual",2,Table1[[#This Row],[Coupon frequency]]="Quarterly",4,Table1[[#This Row],[Coupon frequency]]="Annual",1,Table1[[#This Row],[Coupon frequency]]="Every 4 months",3,Table1[[#This Row],[Coupon frequency]]="Monthly",12)</f>
        <v>1</v>
      </c>
      <c r="T540">
        <f>Table1[[#This Row],[Term to Maturity (Years)]]*Table1[[#This Row],[Coupon Frequency2]]</f>
        <v>5</v>
      </c>
      <c r="U540">
        <f>Table1[[#This Row],[Face value]]*Table1[[#This Row],[Current coupon %]]/Table1[[#This Row],[Coupon Frequency2]]</f>
        <v>84</v>
      </c>
      <c r="V540" s="23">
        <f>RATE(Table1[[#This Row],[Total No. of Coupons]],Table1[[#This Row],[Coupon Amount]],-Table1[[#This Row],[Ask Price]],Table1[[#This Row],[Face value]])</f>
        <v>7.9243315217782342E-2</v>
      </c>
      <c r="W540" s="24">
        <f>Table1[[#This Row],[IRR]]*Table1[[#This Row],[Coupon Frequency2]]</f>
        <v>7.9243315217782342E-2</v>
      </c>
      <c r="X540" s="25" cm="1">
        <f t="array" ref="X5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0" s="26">
        <f>DURATION(Table1[[#This Row],[Issue date]],Table1[[#This Row],[Maturity date]],Table1[[#This Row],[Current coupon %]],Table1[[#This Row],[Yield (Annualised)]],Table1[[#This Row],[Coupon Frequency2]])</f>
        <v>4.2902642145045879</v>
      </c>
      <c r="Z540" s="26">
        <f>Table1[[#This Row],[Macaulay Duration in Years]]/(1+Table1[[#This Row],[IRR]])</f>
        <v>3.975252062264429</v>
      </c>
      <c r="AA540" s="27">
        <f>VLOOKUP(Table1[[#This Row],[Yield Cluster]],'[1]Cluster Details'!$B$3:$C$16,2,0)</f>
        <v>7.8548801574189142E-2</v>
      </c>
      <c r="AB540" s="28">
        <f>PRICE(Table1[[#This Row],[Issue date]],Table1[[#This Row],[Maturity date]],Table1[[#This Row],[Current coupon %]],Table1[[#This Row],[Average Cluster Yield]],100,Table1[[#This Row],[Coupon Frequency2]])*Table1[[#This Row],[Face value]]/100</f>
        <v>1021.8485566759502</v>
      </c>
      <c r="AC540" s="27" t="str">
        <f>IF(Table1[[#This Row],[Ask Price]]&gt;Table1[[#This Row],[Calculated Bond Price]],"Rich","Cheap")</f>
        <v>Cheap</v>
      </c>
      <c r="AD540" s="28">
        <f>PRICE(Table1[[#This Row],[Issue date]],Table1[[#This Row],[Maturity date]],Table1[[#This Row],[Current coupon %]],Table1[[#This Row],[Yield (Annualised)]]+$AE$2,100,Table1[[#This Row],[Coupon Frequency2]])*Table1[[#This Row],[Face value]]/100</f>
        <v>979.5652274034818</v>
      </c>
      <c r="AE540" s="28">
        <f>PRICE(Table1[[#This Row],[Issue date]],Table1[[#This Row],[Maturity date]],Table1[[#This Row],[Current coupon %]],Table1[[#This Row],[Yield (Annualised)]]-$AE$2,100,Table1[[#This Row],[Coupon Frequency2]])*Table1[[#This Row],[Face value]]/100</f>
        <v>1060.6281052801708</v>
      </c>
      <c r="AF540" s="28">
        <f>(Table1[[#This Row],[P (+ shock)]]+Table1[[#This Row],[P (-shock)]]-2*Table1[[#This Row],[Ask Price]])/(2*Table1[[#This Row],[Ask Price]]*($AE$2^2))</f>
        <v>10.467467511518294</v>
      </c>
    </row>
    <row r="541" spans="1:32" x14ac:dyDescent="0.25">
      <c r="A541" s="21" t="s">
        <v>1126</v>
      </c>
      <c r="B541" s="3" t="s">
        <v>1127</v>
      </c>
      <c r="C541" s="3" t="s">
        <v>19</v>
      </c>
      <c r="D541" s="4">
        <v>45322</v>
      </c>
      <c r="E541" s="4">
        <v>46053</v>
      </c>
      <c r="F541" s="3">
        <v>1000</v>
      </c>
      <c r="G541" s="3" t="s">
        <v>20</v>
      </c>
      <c r="H541" s="3">
        <v>1029.0899999999999</v>
      </c>
      <c r="I541" s="3" t="s">
        <v>20</v>
      </c>
      <c r="J541" s="3">
        <v>102.908999999999</v>
      </c>
      <c r="K541" s="3">
        <v>10</v>
      </c>
      <c r="L541" s="5">
        <v>8.4499999999999992E-2</v>
      </c>
      <c r="M541" s="3" t="s">
        <v>21</v>
      </c>
      <c r="N541" s="3">
        <v>136</v>
      </c>
      <c r="O541" s="6">
        <f>Table1[[#This Row],[Current coupon %]]*Table1[[#This Row],[Face value]]/Table1[[#This Row],[Ask Price]]</f>
        <v>8.2111379957049424E-2</v>
      </c>
      <c r="P541" s="3"/>
      <c r="Q541" s="3" t="s">
        <v>22</v>
      </c>
      <c r="R541">
        <f t="shared" si="8"/>
        <v>2</v>
      </c>
      <c r="S541" s="22" cm="1">
        <f t="array" ref="S541">_xlfn.IFS(Table1[[#This Row],[Coupon frequency]]="Semi-annual",2,Table1[[#This Row],[Coupon frequency]]="Quarterly",4,Table1[[#This Row],[Coupon frequency]]="Annual",1,Table1[[#This Row],[Coupon frequency]]="Every 4 months",3,Table1[[#This Row],[Coupon frequency]]="Monthly",12)</f>
        <v>1</v>
      </c>
      <c r="T541">
        <f>Table1[[#This Row],[Term to Maturity (Years)]]*Table1[[#This Row],[Coupon Frequency2]]</f>
        <v>2</v>
      </c>
      <c r="U541">
        <f>Table1[[#This Row],[Face value]]*Table1[[#This Row],[Current coupon %]]/Table1[[#This Row],[Coupon Frequency2]]</f>
        <v>84.499999999999986</v>
      </c>
      <c r="V541" s="23">
        <f>RATE(Table1[[#This Row],[Total No. of Coupons]],Table1[[#This Row],[Coupon Amount]],-Table1[[#This Row],[Ask Price]],Table1[[#This Row],[Face value]])</f>
        <v>6.8445225072537974E-2</v>
      </c>
      <c r="W541" s="24">
        <f>Table1[[#This Row],[IRR]]*Table1[[#This Row],[Coupon Frequency2]]</f>
        <v>6.8445225072537974E-2</v>
      </c>
      <c r="X541" s="25" cm="1">
        <f t="array" ref="X5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1" s="26">
        <f>DURATION(Table1[[#This Row],[Issue date]],Table1[[#This Row],[Maturity date]],Table1[[#This Row],[Current coupon %]],Table1[[#This Row],[Yield (Annualised)]],Table1[[#This Row],[Coupon Frequency2]])</f>
        <v>1.92314872299469</v>
      </c>
      <c r="Z541" s="26">
        <f>Table1[[#This Row],[Macaulay Duration in Years]]/(1+Table1[[#This Row],[IRR]])</f>
        <v>1.7999506927125113</v>
      </c>
      <c r="AA541" s="27">
        <f>VLOOKUP(Table1[[#This Row],[Yield Cluster]],'[1]Cluster Details'!$B$3:$C$16,2,0)</f>
        <v>7.8548801574189142E-2</v>
      </c>
      <c r="AB541" s="28">
        <f>PRICE(Table1[[#This Row],[Issue date]],Table1[[#This Row],[Maturity date]],Table1[[#This Row],[Current coupon %]],Table1[[#This Row],[Average Cluster Yield]],100,Table1[[#This Row],[Coupon Frequency2]])*Table1[[#This Row],[Face value]]/100</f>
        <v>1010.6337159519338</v>
      </c>
      <c r="AC541" s="27" t="str">
        <f>IF(Table1[[#This Row],[Ask Price]]&gt;Table1[[#This Row],[Calculated Bond Price]],"Rich","Cheap")</f>
        <v>Rich</v>
      </c>
      <c r="AD541" s="28">
        <f>PRICE(Table1[[#This Row],[Issue date]],Table1[[#This Row],[Maturity date]],Table1[[#This Row],[Current coupon %]],Table1[[#This Row],[Yield (Annualised)]]+$AE$2,100,Table1[[#This Row],[Coupon Frequency2]])*Table1[[#This Row],[Face value]]/100</f>
        <v>1010.8203274486311</v>
      </c>
      <c r="AE541" s="28">
        <f>PRICE(Table1[[#This Row],[Issue date]],Table1[[#This Row],[Maturity date]],Table1[[#This Row],[Current coupon %]],Table1[[#This Row],[Yield (Annualised)]]-$AE$2,100,Table1[[#This Row],[Coupon Frequency2]])*Table1[[#This Row],[Face value]]/100</f>
        <v>1047.872914134364</v>
      </c>
      <c r="AF541" s="28">
        <f>(Table1[[#This Row],[P (+ shock)]]+Table1[[#This Row],[P (-shock)]]-2*Table1[[#This Row],[Ask Price]])/(2*Table1[[#This Row],[Ask Price]]*($AE$2^2))</f>
        <v>2.4936671379340294</v>
      </c>
    </row>
    <row r="542" spans="1:32" x14ac:dyDescent="0.25">
      <c r="A542" s="21" t="s">
        <v>1128</v>
      </c>
      <c r="B542" s="3" t="s">
        <v>1129</v>
      </c>
      <c r="C542" s="3" t="s">
        <v>19</v>
      </c>
      <c r="D542" s="4">
        <v>45050</v>
      </c>
      <c r="E542" s="4">
        <v>46177</v>
      </c>
      <c r="F542" s="3">
        <v>1000</v>
      </c>
      <c r="G542" s="3" t="s">
        <v>20</v>
      </c>
      <c r="H542" s="3">
        <v>1014</v>
      </c>
      <c r="I542" s="3" t="s">
        <v>20</v>
      </c>
      <c r="J542" s="3">
        <v>101.4</v>
      </c>
      <c r="K542" s="3">
        <v>100</v>
      </c>
      <c r="L542" s="5">
        <v>8.3000000000000004E-2</v>
      </c>
      <c r="M542" s="3" t="s">
        <v>21</v>
      </c>
      <c r="N542" s="3">
        <v>260</v>
      </c>
      <c r="O542" s="6">
        <f>Table1[[#This Row],[Current coupon %]]*Table1[[#This Row],[Face value]]/Table1[[#This Row],[Ask Price]]</f>
        <v>8.1854043392504933E-2</v>
      </c>
      <c r="P542" s="3"/>
      <c r="Q542" s="3" t="s">
        <v>22</v>
      </c>
      <c r="R542">
        <f t="shared" si="8"/>
        <v>3</v>
      </c>
      <c r="S542" s="22" cm="1">
        <f t="array" ref="S542">_xlfn.IFS(Table1[[#This Row],[Coupon frequency]]="Semi-annual",2,Table1[[#This Row],[Coupon frequency]]="Quarterly",4,Table1[[#This Row],[Coupon frequency]]="Annual",1,Table1[[#This Row],[Coupon frequency]]="Every 4 months",3,Table1[[#This Row],[Coupon frequency]]="Monthly",12)</f>
        <v>1</v>
      </c>
      <c r="T542">
        <f>Table1[[#This Row],[Term to Maturity (Years)]]*Table1[[#This Row],[Coupon Frequency2]]</f>
        <v>3</v>
      </c>
      <c r="U542">
        <f>Table1[[#This Row],[Face value]]*Table1[[#This Row],[Current coupon %]]/Table1[[#This Row],[Coupon Frequency2]]</f>
        <v>83</v>
      </c>
      <c r="V542" s="23">
        <f>RATE(Table1[[#This Row],[Total No. of Coupons]],Table1[[#This Row],[Coupon Amount]],-Table1[[#This Row],[Ask Price]],Table1[[#This Row],[Face value]])</f>
        <v>7.7591127283456809E-2</v>
      </c>
      <c r="W542" s="24">
        <f>Table1[[#This Row],[IRR]]*Table1[[#This Row],[Coupon Frequency2]]</f>
        <v>7.7591127283456809E-2</v>
      </c>
      <c r="X542" s="25" cm="1">
        <f t="array" ref="X5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2" s="26">
        <f>DURATION(Table1[[#This Row],[Issue date]],Table1[[#This Row],[Maturity date]],Table1[[#This Row],[Current coupon %]],Table1[[#This Row],[Yield (Annualised)]],Table1[[#This Row],[Coupon Frequency2]])</f>
        <v>2.650767320708316</v>
      </c>
      <c r="Z542" s="26">
        <f>Table1[[#This Row],[Macaulay Duration in Years]]/(1+Table1[[#This Row],[IRR]])</f>
        <v>2.459900841417229</v>
      </c>
      <c r="AA542" s="27">
        <f>VLOOKUP(Table1[[#This Row],[Yield Cluster]],'[1]Cluster Details'!$B$3:$C$16,2,0)</f>
        <v>7.8548801574189142E-2</v>
      </c>
      <c r="AB542" s="28">
        <f>PRICE(Table1[[#This Row],[Issue date]],Table1[[#This Row],[Maturity date]],Table1[[#This Row],[Current coupon %]],Table1[[#This Row],[Average Cluster Yield]],100,Table1[[#This Row],[Coupon Frequency2]])*Table1[[#This Row],[Face value]]/100</f>
        <v>1011.5427680397007</v>
      </c>
      <c r="AC542" s="27" t="str">
        <f>IF(Table1[[#This Row],[Ask Price]]&gt;Table1[[#This Row],[Calculated Bond Price]],"Rich","Cheap")</f>
        <v>Rich</v>
      </c>
      <c r="AD542" s="28">
        <f>PRICE(Table1[[#This Row],[Issue date]],Table1[[#This Row],[Maturity date]],Table1[[#This Row],[Current coupon %]],Table1[[#This Row],[Yield (Annualised)]]+$AE$2,100,Table1[[#This Row],[Coupon Frequency2]])*Table1[[#This Row],[Face value]]/100</f>
        <v>987.77506215866686</v>
      </c>
      <c r="AE542" s="28">
        <f>PRICE(Table1[[#This Row],[Issue date]],Table1[[#This Row],[Maturity date]],Table1[[#This Row],[Current coupon %]],Table1[[#This Row],[Yield (Annualised)]]-$AE$2,100,Table1[[#This Row],[Coupon Frequency2]])*Table1[[#This Row],[Face value]]/100</f>
        <v>1041.4255493541755</v>
      </c>
      <c r="AF542" s="28">
        <f>(Table1[[#This Row],[P (+ shock)]]+Table1[[#This Row],[P (-shock)]]-2*Table1[[#This Row],[Ask Price]])/(2*Table1[[#This Row],[Ask Price]]*($AE$2^2))</f>
        <v>5.9201751126353184</v>
      </c>
    </row>
    <row r="543" spans="1:32" x14ac:dyDescent="0.25">
      <c r="A543" s="21" t="s">
        <v>1130</v>
      </c>
      <c r="B543" s="3" t="s">
        <v>1131</v>
      </c>
      <c r="C543" s="3" t="s">
        <v>19</v>
      </c>
      <c r="D543" s="4">
        <v>44476</v>
      </c>
      <c r="E543" s="4">
        <v>47521</v>
      </c>
      <c r="F543" s="3">
        <v>1000</v>
      </c>
      <c r="G543" s="3" t="s">
        <v>20</v>
      </c>
      <c r="H543" s="3">
        <v>1014</v>
      </c>
      <c r="I543" s="3" t="s">
        <v>20</v>
      </c>
      <c r="J543" s="3">
        <v>101.4</v>
      </c>
      <c r="K543" s="3">
        <v>10</v>
      </c>
      <c r="L543" s="5">
        <v>8.3000000000000004E-2</v>
      </c>
      <c r="M543" s="3" t="s">
        <v>21</v>
      </c>
      <c r="N543" s="3">
        <v>1604</v>
      </c>
      <c r="O543" s="6">
        <f>Table1[[#This Row],[Current coupon %]]*Table1[[#This Row],[Face value]]/Table1[[#This Row],[Ask Price]]</f>
        <v>8.1854043392504933E-2</v>
      </c>
      <c r="P543" s="3"/>
      <c r="Q543" s="3" t="s">
        <v>22</v>
      </c>
      <c r="R543">
        <f t="shared" si="8"/>
        <v>8</v>
      </c>
      <c r="S543" s="22" cm="1">
        <f t="array" ref="S543">_xlfn.IFS(Table1[[#This Row],[Coupon frequency]]="Semi-annual",2,Table1[[#This Row],[Coupon frequency]]="Quarterly",4,Table1[[#This Row],[Coupon frequency]]="Annual",1,Table1[[#This Row],[Coupon frequency]]="Every 4 months",3,Table1[[#This Row],[Coupon frequency]]="Monthly",12)</f>
        <v>1</v>
      </c>
      <c r="T543">
        <f>Table1[[#This Row],[Term to Maturity (Years)]]*Table1[[#This Row],[Coupon Frequency2]]</f>
        <v>8</v>
      </c>
      <c r="U543">
        <f>Table1[[#This Row],[Face value]]*Table1[[#This Row],[Current coupon %]]/Table1[[#This Row],[Coupon Frequency2]]</f>
        <v>83</v>
      </c>
      <c r="V543" s="23">
        <f>RATE(Table1[[#This Row],[Total No. of Coupons]],Table1[[#This Row],[Coupon Amount]],-Table1[[#This Row],[Ask Price]],Table1[[#This Row],[Face value]])</f>
        <v>8.055862626282527E-2</v>
      </c>
      <c r="W543" s="24">
        <f>Table1[[#This Row],[IRR]]*Table1[[#This Row],[Coupon Frequency2]]</f>
        <v>8.055862626282527E-2</v>
      </c>
      <c r="X543" s="25" cm="1">
        <f t="array" ref="X5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3" s="26">
        <f>DURATION(Table1[[#This Row],[Issue date]],Table1[[#This Row],[Maturity date]],Table1[[#This Row],[Current coupon %]],Table1[[#This Row],[Yield (Annualised)]],Table1[[#This Row],[Coupon Frequency2]])</f>
        <v>6.0341354836622942</v>
      </c>
      <c r="Z543" s="26">
        <f>Table1[[#This Row],[Macaulay Duration in Years]]/(1+Table1[[#This Row],[IRR]])</f>
        <v>5.5842740384496325</v>
      </c>
      <c r="AA543" s="27">
        <f>VLOOKUP(Table1[[#This Row],[Yield Cluster]],'[1]Cluster Details'!$B$3:$C$16,2,0)</f>
        <v>7.8548801574189142E-2</v>
      </c>
      <c r="AB543" s="28">
        <f>PRICE(Table1[[#This Row],[Issue date]],Table1[[#This Row],[Maturity date]],Table1[[#This Row],[Current coupon %]],Table1[[#This Row],[Average Cluster Yield]],100,Table1[[#This Row],[Coupon Frequency2]])*Table1[[#This Row],[Face value]]/100</f>
        <v>1025.7909842298118</v>
      </c>
      <c r="AC543" s="27" t="str">
        <f>IF(Table1[[#This Row],[Ask Price]]&gt;Table1[[#This Row],[Calculated Bond Price]],"Rich","Cheap")</f>
        <v>Cheap</v>
      </c>
      <c r="AD543" s="28">
        <f>PRICE(Table1[[#This Row],[Issue date]],Table1[[#This Row],[Maturity date]],Table1[[#This Row],[Current coupon %]],Table1[[#This Row],[Yield (Annualised)]]+$AE$2,100,Table1[[#This Row],[Coupon Frequency2]])*Table1[[#This Row],[Face value]]/100</f>
        <v>956.25962345796188</v>
      </c>
      <c r="AE543" s="28">
        <f>PRICE(Table1[[#This Row],[Issue date]],Table1[[#This Row],[Maturity date]],Table1[[#This Row],[Current coupon %]],Table1[[#This Row],[Yield (Annualised)]]-$AE$2,100,Table1[[#This Row],[Coupon Frequency2]])*Table1[[#This Row],[Face value]]/100</f>
        <v>1075.7958973768991</v>
      </c>
      <c r="AF543" s="28">
        <f>(Table1[[#This Row],[P (+ shock)]]+Table1[[#This Row],[P (-shock)]]-2*Table1[[#This Row],[Ask Price]])/(2*Table1[[#This Row],[Ask Price]]*($AE$2^2))</f>
        <v>19.997637252766268</v>
      </c>
    </row>
    <row r="544" spans="1:32" x14ac:dyDescent="0.25">
      <c r="A544" s="21" t="s">
        <v>1132</v>
      </c>
      <c r="B544" s="3" t="s">
        <v>1133</v>
      </c>
      <c r="C544" s="3" t="s">
        <v>19</v>
      </c>
      <c r="D544" s="4">
        <v>40630</v>
      </c>
      <c r="E544" s="4">
        <v>46109</v>
      </c>
      <c r="F544" s="3">
        <v>1000</v>
      </c>
      <c r="G544" s="3" t="s">
        <v>20</v>
      </c>
      <c r="H544" s="3">
        <v>1015</v>
      </c>
      <c r="I544" s="3" t="s">
        <v>20</v>
      </c>
      <c r="J544" s="3">
        <v>101.49999999999901</v>
      </c>
      <c r="K544" s="3">
        <v>10</v>
      </c>
      <c r="L544" s="5">
        <v>8.3000000000000004E-2</v>
      </c>
      <c r="M544" s="3" t="s">
        <v>21</v>
      </c>
      <c r="N544" s="3">
        <v>192</v>
      </c>
      <c r="O544" s="6">
        <f>Table1[[#This Row],[Current coupon %]]*Table1[[#This Row],[Face value]]/Table1[[#This Row],[Ask Price]]</f>
        <v>8.1773399014778328E-2</v>
      </c>
      <c r="P544" s="3" t="s">
        <v>54</v>
      </c>
      <c r="Q544" s="3" t="s">
        <v>22</v>
      </c>
      <c r="R544">
        <f t="shared" si="8"/>
        <v>15</v>
      </c>
      <c r="S544" s="22" cm="1">
        <f t="array" ref="S544">_xlfn.IFS(Table1[[#This Row],[Coupon frequency]]="Semi-annual",2,Table1[[#This Row],[Coupon frequency]]="Quarterly",4,Table1[[#This Row],[Coupon frequency]]="Annual",1,Table1[[#This Row],[Coupon frequency]]="Every 4 months",3,Table1[[#This Row],[Coupon frequency]]="Monthly",12)</f>
        <v>1</v>
      </c>
      <c r="T544">
        <f>Table1[[#This Row],[Term to Maturity (Years)]]*Table1[[#This Row],[Coupon Frequency2]]</f>
        <v>15</v>
      </c>
      <c r="U544">
        <f>Table1[[#This Row],[Face value]]*Table1[[#This Row],[Current coupon %]]/Table1[[#This Row],[Coupon Frequency2]]</f>
        <v>83</v>
      </c>
      <c r="V544" s="23">
        <f>RATE(Table1[[#This Row],[Total No. of Coupons]],Table1[[#This Row],[Coupon Amount]],-Table1[[#This Row],[Ask Price]],Table1[[#This Row],[Face value]])</f>
        <v>8.1234326876654717E-2</v>
      </c>
      <c r="W544" s="24">
        <f>Table1[[#This Row],[IRR]]*Table1[[#This Row],[Coupon Frequency2]]</f>
        <v>8.1234326876654717E-2</v>
      </c>
      <c r="X544" s="25" cm="1">
        <f t="array" ref="X5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4" s="26">
        <f>DURATION(Table1[[#This Row],[Issue date]],Table1[[#This Row],[Maturity date]],Table1[[#This Row],[Current coupon %]],Table1[[#This Row],[Yield (Annualised)]],Table1[[#This Row],[Coupon Frequency2]])</f>
        <v>9.1468718055153797</v>
      </c>
      <c r="Z544" s="26">
        <f>Table1[[#This Row],[Macaulay Duration in Years]]/(1+Table1[[#This Row],[IRR]])</f>
        <v>8.4596572437149771</v>
      </c>
      <c r="AA544" s="27">
        <f>VLOOKUP(Table1[[#This Row],[Yield Cluster]],'[1]Cluster Details'!$B$3:$C$16,2,0)</f>
        <v>7.8548801574189142E-2</v>
      </c>
      <c r="AB544" s="28">
        <f>PRICE(Table1[[#This Row],[Issue date]],Table1[[#This Row],[Maturity date]],Table1[[#This Row],[Current coupon %]],Table1[[#This Row],[Average Cluster Yield]],100,Table1[[#This Row],[Coupon Frequency2]])*Table1[[#This Row],[Face value]]/100</f>
        <v>1038.4398783726956</v>
      </c>
      <c r="AC544" s="27" t="str">
        <f>IF(Table1[[#This Row],[Ask Price]]&gt;Table1[[#This Row],[Calculated Bond Price]],"Rich","Cheap")</f>
        <v>Cheap</v>
      </c>
      <c r="AD544" s="28">
        <f>PRICE(Table1[[#This Row],[Issue date]],Table1[[#This Row],[Maturity date]],Table1[[#This Row],[Current coupon %]],Table1[[#This Row],[Yield (Annualised)]]+$AE$2,100,Table1[[#This Row],[Coupon Frequency2]])*Table1[[#This Row],[Face value]]/100</f>
        <v>934.1065478274877</v>
      </c>
      <c r="AE544" s="28">
        <f>PRICE(Table1[[#This Row],[Issue date]],Table1[[#This Row],[Maturity date]],Table1[[#This Row],[Current coupon %]],Table1[[#This Row],[Yield (Annualised)]]-$AE$2,100,Table1[[#This Row],[Coupon Frequency2]])*Table1[[#This Row],[Face value]]/100</f>
        <v>1106.3302702240867</v>
      </c>
      <c r="AF544" s="28">
        <f>(Table1[[#This Row],[P (+ shock)]]+Table1[[#This Row],[P (-shock)]]-2*Table1[[#This Row],[Ask Price]])/(2*Table1[[#This Row],[Ask Price]]*($AE$2^2))</f>
        <v>51.412896805785174</v>
      </c>
    </row>
    <row r="545" spans="1:32" x14ac:dyDescent="0.25">
      <c r="A545" s="21" t="s">
        <v>1134</v>
      </c>
      <c r="B545" s="3" t="s">
        <v>1135</v>
      </c>
      <c r="C545" s="3" t="s">
        <v>19</v>
      </c>
      <c r="D545" s="4">
        <v>45044</v>
      </c>
      <c r="E545" s="4">
        <v>46871</v>
      </c>
      <c r="F545" s="3">
        <v>100000</v>
      </c>
      <c r="G545" s="3" t="s">
        <v>20</v>
      </c>
      <c r="H545" s="3">
        <v>107094</v>
      </c>
      <c r="I545" s="3" t="s">
        <v>20</v>
      </c>
      <c r="J545" s="3">
        <v>107.09399999999999</v>
      </c>
      <c r="K545" s="3">
        <v>70</v>
      </c>
      <c r="L545" s="5">
        <v>8.7499999999999994E-2</v>
      </c>
      <c r="M545" s="3" t="s">
        <v>21</v>
      </c>
      <c r="N545" s="3">
        <v>954</v>
      </c>
      <c r="O545" s="6">
        <f>Table1[[#This Row],[Current coupon %]]*Table1[[#This Row],[Face value]]/Table1[[#This Row],[Ask Price]]</f>
        <v>8.170392365585373E-2</v>
      </c>
      <c r="P545" s="3" t="s">
        <v>97</v>
      </c>
      <c r="Q545" s="3" t="s">
        <v>22</v>
      </c>
      <c r="R545">
        <f t="shared" si="8"/>
        <v>5</v>
      </c>
      <c r="S545" s="22" cm="1">
        <f t="array" ref="S545">_xlfn.IFS(Table1[[#This Row],[Coupon frequency]]="Semi-annual",2,Table1[[#This Row],[Coupon frequency]]="Quarterly",4,Table1[[#This Row],[Coupon frequency]]="Annual",1,Table1[[#This Row],[Coupon frequency]]="Every 4 months",3,Table1[[#This Row],[Coupon frequency]]="Monthly",12)</f>
        <v>1</v>
      </c>
      <c r="T545">
        <f>Table1[[#This Row],[Term to Maturity (Years)]]*Table1[[#This Row],[Coupon Frequency2]]</f>
        <v>5</v>
      </c>
      <c r="U545">
        <f>Table1[[#This Row],[Face value]]*Table1[[#This Row],[Current coupon %]]/Table1[[#This Row],[Coupon Frequency2]]</f>
        <v>8750</v>
      </c>
      <c r="V545" s="23">
        <f>RATE(Table1[[#This Row],[Total No. of Coupons]],Table1[[#This Row],[Coupon Amount]],-Table1[[#This Row],[Ask Price]],Table1[[#This Row],[Face value]])</f>
        <v>7.018960947869754E-2</v>
      </c>
      <c r="W545" s="24">
        <f>Table1[[#This Row],[IRR]]*Table1[[#This Row],[Coupon Frequency2]]</f>
        <v>7.018960947869754E-2</v>
      </c>
      <c r="X545" s="25" cm="1">
        <f t="array" ref="X5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5" s="26">
        <f>DURATION(Table1[[#This Row],[Issue date]],Table1[[#This Row],[Maturity date]],Table1[[#This Row],[Current coupon %]],Table1[[#This Row],[Yield (Annualised)]],Table1[[#This Row],[Coupon Frequency2]])</f>
        <v>4.2849986666047393</v>
      </c>
      <c r="Z545" s="26">
        <f>Table1[[#This Row],[Macaulay Duration in Years]]/(1+Table1[[#This Row],[IRR]])</f>
        <v>4.0039621284419074</v>
      </c>
      <c r="AA545" s="27">
        <f>VLOOKUP(Table1[[#This Row],[Yield Cluster]],'[1]Cluster Details'!$B$3:$C$16,2,0)</f>
        <v>7.8548801574189142E-2</v>
      </c>
      <c r="AB545" s="28">
        <f>PRICE(Table1[[#This Row],[Issue date]],Table1[[#This Row],[Maturity date]],Table1[[#This Row],[Current coupon %]],Table1[[#This Row],[Average Cluster Yield]],100,Table1[[#This Row],[Coupon Frequency2]])*Table1[[#This Row],[Face value]]/100</f>
        <v>103587.66551586156</v>
      </c>
      <c r="AC545" s="27" t="str">
        <f>IF(Table1[[#This Row],[Ask Price]]&gt;Table1[[#This Row],[Calculated Bond Price]],"Rich","Cheap")</f>
        <v>Rich</v>
      </c>
      <c r="AD545" s="28">
        <f>PRICE(Table1[[#This Row],[Issue date]],Table1[[#This Row],[Maturity date]],Table1[[#This Row],[Current coupon %]],Table1[[#This Row],[Yield (Annualised)]]+$AE$2,100,Table1[[#This Row],[Coupon Frequency2]])*Table1[[#This Row],[Face value]]/100</f>
        <v>102917.36889120263</v>
      </c>
      <c r="AE545" s="28">
        <f>PRICE(Table1[[#This Row],[Issue date]],Table1[[#This Row],[Maturity date]],Table1[[#This Row],[Current coupon %]],Table1[[#This Row],[Yield (Annualised)]]-$AE$2,100,Table1[[#This Row],[Coupon Frequency2]])*Table1[[#This Row],[Face value]]/100</f>
        <v>111498.1984207927</v>
      </c>
      <c r="AF545" s="28">
        <f>(Table1[[#This Row],[P (+ shock)]]+Table1[[#This Row],[P (-shock)]]-2*Table1[[#This Row],[Ask Price]])/(2*Table1[[#This Row],[Ask Price]]*($AE$2^2))</f>
        <v>10.62465273476168</v>
      </c>
    </row>
    <row r="546" spans="1:32" x14ac:dyDescent="0.25">
      <c r="A546" s="21" t="s">
        <v>1136</v>
      </c>
      <c r="B546" s="3" t="s">
        <v>1137</v>
      </c>
      <c r="C546" s="3" t="s">
        <v>19</v>
      </c>
      <c r="D546" s="4">
        <v>45302</v>
      </c>
      <c r="E546" s="4">
        <v>48955</v>
      </c>
      <c r="F546" s="3">
        <v>100000</v>
      </c>
      <c r="G546" s="3" t="s">
        <v>20</v>
      </c>
      <c r="H546" s="3">
        <v>103167</v>
      </c>
      <c r="I546" s="3" t="s">
        <v>20</v>
      </c>
      <c r="J546" s="3">
        <v>103.167</v>
      </c>
      <c r="K546" s="3">
        <v>10</v>
      </c>
      <c r="L546" s="5">
        <v>8.3800000000000013E-2</v>
      </c>
      <c r="M546" s="3" t="s">
        <v>21</v>
      </c>
      <c r="N546" s="3">
        <v>3038</v>
      </c>
      <c r="O546" s="6">
        <f>Table1[[#This Row],[Current coupon %]]*Table1[[#This Row],[Face value]]/Table1[[#This Row],[Ask Price]]</f>
        <v>8.1227524305252666E-2</v>
      </c>
      <c r="P546" s="3"/>
      <c r="Q546" s="3" t="s">
        <v>22</v>
      </c>
      <c r="R546">
        <f t="shared" si="8"/>
        <v>10</v>
      </c>
      <c r="S546" s="22" cm="1">
        <f t="array" ref="S546">_xlfn.IFS(Table1[[#This Row],[Coupon frequency]]="Semi-annual",2,Table1[[#This Row],[Coupon frequency]]="Quarterly",4,Table1[[#This Row],[Coupon frequency]]="Annual",1,Table1[[#This Row],[Coupon frequency]]="Every 4 months",3,Table1[[#This Row],[Coupon frequency]]="Monthly",12)</f>
        <v>1</v>
      </c>
      <c r="T546">
        <f>Table1[[#This Row],[Term to Maturity (Years)]]*Table1[[#This Row],[Coupon Frequency2]]</f>
        <v>10</v>
      </c>
      <c r="U546">
        <f>Table1[[#This Row],[Face value]]*Table1[[#This Row],[Current coupon %]]/Table1[[#This Row],[Coupon Frequency2]]</f>
        <v>8380.0000000000018</v>
      </c>
      <c r="V546" s="23">
        <f>RATE(Table1[[#This Row],[Total No. of Coupons]],Table1[[#This Row],[Coupon Amount]],-Table1[[#This Row],[Ask Price]],Table1[[#This Row],[Face value]])</f>
        <v>7.9099390785953919E-2</v>
      </c>
      <c r="W546" s="24">
        <f>Table1[[#This Row],[IRR]]*Table1[[#This Row],[Coupon Frequency2]]</f>
        <v>7.9099390785953919E-2</v>
      </c>
      <c r="X546" s="25" cm="1">
        <f t="array" ref="X5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6" s="26">
        <f>DURATION(Table1[[#This Row],[Issue date]],Table1[[#This Row],[Maturity date]],Table1[[#This Row],[Current coupon %]],Table1[[#This Row],[Yield (Annualised)]],Table1[[#This Row],[Coupon Frequency2]])</f>
        <v>7.1969107610099536</v>
      </c>
      <c r="Z546" s="26">
        <f>Table1[[#This Row],[Macaulay Duration in Years]]/(1+Table1[[#This Row],[IRR]])</f>
        <v>6.6693678288226428</v>
      </c>
      <c r="AA546" s="27">
        <f>VLOOKUP(Table1[[#This Row],[Yield Cluster]],'[1]Cluster Details'!$B$3:$C$16,2,0)</f>
        <v>7.8548801574189142E-2</v>
      </c>
      <c r="AB546" s="28">
        <f>PRICE(Table1[[#This Row],[Issue date]],Table1[[#This Row],[Maturity date]],Table1[[#This Row],[Current coupon %]],Table1[[#This Row],[Average Cluster Yield]],100,Table1[[#This Row],[Coupon Frequency2]])*Table1[[#This Row],[Face value]]/100</f>
        <v>103546.77787499827</v>
      </c>
      <c r="AC546" s="27" t="str">
        <f>IF(Table1[[#This Row],[Ask Price]]&gt;Table1[[#This Row],[Calculated Bond Price]],"Rich","Cheap")</f>
        <v>Cheap</v>
      </c>
      <c r="AD546" s="28">
        <f>PRICE(Table1[[#This Row],[Issue date]],Table1[[#This Row],[Maturity date]],Table1[[#This Row],[Current coupon %]],Table1[[#This Row],[Yield (Annualised)]]+$AE$2,100,Table1[[#This Row],[Coupon Frequency2]])*Table1[[#This Row],[Face value]]/100</f>
        <v>96585.508848016165</v>
      </c>
      <c r="AE546" s="28">
        <f>PRICE(Table1[[#This Row],[Issue date]],Table1[[#This Row],[Maturity date]],Table1[[#This Row],[Current coupon %]],Table1[[#This Row],[Yield (Annualised)]]-$AE$2,100,Table1[[#This Row],[Coupon Frequency2]])*Table1[[#This Row],[Face value]]/100</f>
        <v>110368.21417480323</v>
      </c>
      <c r="AF546" s="28">
        <f>(Table1[[#This Row],[P (+ shock)]]+Table1[[#This Row],[P (-shock)]]-2*Table1[[#This Row],[Ask Price]])/(2*Table1[[#This Row],[Ask Price]]*($AE$2^2))</f>
        <v>30.034944450230221</v>
      </c>
    </row>
    <row r="547" spans="1:32" x14ac:dyDescent="0.25">
      <c r="A547" s="21" t="s">
        <v>1138</v>
      </c>
      <c r="B547" s="3" t="s">
        <v>1139</v>
      </c>
      <c r="C547" s="3" t="s">
        <v>19</v>
      </c>
      <c r="D547" s="4">
        <v>43822</v>
      </c>
      <c r="E547" s="4">
        <v>46379</v>
      </c>
      <c r="F547" s="3">
        <v>1000</v>
      </c>
      <c r="G547" s="3" t="s">
        <v>20</v>
      </c>
      <c r="H547" s="3">
        <v>1065.25</v>
      </c>
      <c r="I547" s="3" t="s">
        <v>20</v>
      </c>
      <c r="J547" s="3">
        <v>106.52500000000001</v>
      </c>
      <c r="K547" s="3">
        <v>175</v>
      </c>
      <c r="L547" s="5">
        <v>8.6500000000000007E-2</v>
      </c>
      <c r="M547" s="3" t="s">
        <v>21</v>
      </c>
      <c r="N547" s="3">
        <v>462</v>
      </c>
      <c r="O547" s="6">
        <f>Table1[[#This Row],[Current coupon %]]*Table1[[#This Row],[Face value]]/Table1[[#This Row],[Ask Price]]</f>
        <v>8.1201595869514212E-2</v>
      </c>
      <c r="P547" s="3" t="s">
        <v>297</v>
      </c>
      <c r="Q547" s="3" t="s">
        <v>22</v>
      </c>
      <c r="R547">
        <f t="shared" si="8"/>
        <v>7</v>
      </c>
      <c r="S547" s="22" cm="1">
        <f t="array" ref="S547">_xlfn.IFS(Table1[[#This Row],[Coupon frequency]]="Semi-annual",2,Table1[[#This Row],[Coupon frequency]]="Quarterly",4,Table1[[#This Row],[Coupon frequency]]="Annual",1,Table1[[#This Row],[Coupon frequency]]="Every 4 months",3,Table1[[#This Row],[Coupon frequency]]="Monthly",12)</f>
        <v>1</v>
      </c>
      <c r="T547">
        <f>Table1[[#This Row],[Term to Maturity (Years)]]*Table1[[#This Row],[Coupon Frequency2]]</f>
        <v>7</v>
      </c>
      <c r="U547">
        <f>Table1[[#This Row],[Face value]]*Table1[[#This Row],[Current coupon %]]/Table1[[#This Row],[Coupon Frequency2]]</f>
        <v>86.500000000000014</v>
      </c>
      <c r="V547" s="23">
        <f>RATE(Table1[[#This Row],[Total No. of Coupons]],Table1[[#This Row],[Coupon Amount]],-Table1[[#This Row],[Ask Price]],Table1[[#This Row],[Face value]])</f>
        <v>7.421418638216111E-2</v>
      </c>
      <c r="W547" s="24">
        <f>Table1[[#This Row],[IRR]]*Table1[[#This Row],[Coupon Frequency2]]</f>
        <v>7.421418638216111E-2</v>
      </c>
      <c r="X547" s="25" cm="1">
        <f t="array" ref="X5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7" s="26">
        <f>DURATION(Table1[[#This Row],[Issue date]],Table1[[#This Row],[Maturity date]],Table1[[#This Row],[Current coupon %]],Table1[[#This Row],[Yield (Annualised)]],Table1[[#This Row],[Coupon Frequency2]])</f>
        <v>5.5832432495746183</v>
      </c>
      <c r="Z547" s="26">
        <f>Table1[[#This Row],[Macaulay Duration in Years]]/(1+Table1[[#This Row],[IRR]])</f>
        <v>5.1975139784537632</v>
      </c>
      <c r="AA547" s="27">
        <f>VLOOKUP(Table1[[#This Row],[Yield Cluster]],'[1]Cluster Details'!$B$3:$C$16,2,0)</f>
        <v>7.8548801574189142E-2</v>
      </c>
      <c r="AB547" s="28">
        <f>PRICE(Table1[[#This Row],[Issue date]],Table1[[#This Row],[Maturity date]],Table1[[#This Row],[Current coupon %]],Table1[[#This Row],[Average Cluster Yield]],100,Table1[[#This Row],[Coupon Frequency2]])*Table1[[#This Row],[Face value]]/100</f>
        <v>1041.6031396534472</v>
      </c>
      <c r="AC547" s="27" t="str">
        <f>IF(Table1[[#This Row],[Ask Price]]&gt;Table1[[#This Row],[Calculated Bond Price]],"Rich","Cheap")</f>
        <v>Rich</v>
      </c>
      <c r="AD547" s="28">
        <f>PRICE(Table1[[#This Row],[Issue date]],Table1[[#This Row],[Maturity date]],Table1[[#This Row],[Current coupon %]],Table1[[#This Row],[Yield (Annualised)]]+$AE$2,100,Table1[[#This Row],[Coupon Frequency2]])*Table1[[#This Row],[Face value]]/100</f>
        <v>1011.7311778073608</v>
      </c>
      <c r="AE547" s="28">
        <f>PRICE(Table1[[#This Row],[Issue date]],Table1[[#This Row],[Maturity date]],Table1[[#This Row],[Current coupon %]],Table1[[#This Row],[Yield (Annualised)]]-$AE$2,100,Table1[[#This Row],[Coupon Frequency2]])*Table1[[#This Row],[Face value]]/100</f>
        <v>1122.5658101903662</v>
      </c>
      <c r="AF547" s="28">
        <f>(Table1[[#This Row],[P (+ shock)]]+Table1[[#This Row],[P (-shock)]]-2*Table1[[#This Row],[Ask Price]])/(2*Table1[[#This Row],[Ask Price]]*($AE$2^2))</f>
        <v>17.822051151031346</v>
      </c>
    </row>
    <row r="548" spans="1:32" x14ac:dyDescent="0.25">
      <c r="A548" s="21" t="s">
        <v>1140</v>
      </c>
      <c r="B548" s="3" t="s">
        <v>1141</v>
      </c>
      <c r="C548" s="3" t="s">
        <v>19</v>
      </c>
      <c r="D548" s="4">
        <v>44883</v>
      </c>
      <c r="E548" s="4">
        <v>48536</v>
      </c>
      <c r="F548" s="3">
        <v>1000000</v>
      </c>
      <c r="G548" s="3" t="s">
        <v>20</v>
      </c>
      <c r="H548" s="3">
        <v>1000000</v>
      </c>
      <c r="I548" s="3" t="s">
        <v>20</v>
      </c>
      <c r="J548" s="3">
        <v>100</v>
      </c>
      <c r="K548" s="3">
        <v>1</v>
      </c>
      <c r="L548" s="5">
        <v>8.1199999999999994E-2</v>
      </c>
      <c r="M548" s="3" t="s">
        <v>21</v>
      </c>
      <c r="N548" s="3">
        <v>2619</v>
      </c>
      <c r="O548" s="6">
        <f>Table1[[#This Row],[Current coupon %]]*Table1[[#This Row],[Face value]]/Table1[[#This Row],[Ask Price]]</f>
        <v>8.1199999999999994E-2</v>
      </c>
      <c r="P548" s="3"/>
      <c r="Q548" s="3" t="s">
        <v>22</v>
      </c>
      <c r="R548">
        <f t="shared" si="8"/>
        <v>10</v>
      </c>
      <c r="S548" s="22" cm="1">
        <f t="array" ref="S548">_xlfn.IFS(Table1[[#This Row],[Coupon frequency]]="Semi-annual",2,Table1[[#This Row],[Coupon frequency]]="Quarterly",4,Table1[[#This Row],[Coupon frequency]]="Annual",1,Table1[[#This Row],[Coupon frequency]]="Every 4 months",3,Table1[[#This Row],[Coupon frequency]]="Monthly",12)</f>
        <v>1</v>
      </c>
      <c r="T548">
        <f>Table1[[#This Row],[Term to Maturity (Years)]]*Table1[[#This Row],[Coupon Frequency2]]</f>
        <v>10</v>
      </c>
      <c r="U548">
        <f>Table1[[#This Row],[Face value]]*Table1[[#This Row],[Current coupon %]]/Table1[[#This Row],[Coupon Frequency2]]</f>
        <v>81200</v>
      </c>
      <c r="V548" s="23">
        <f>RATE(Table1[[#This Row],[Total No. of Coupons]],Table1[[#This Row],[Coupon Amount]],-Table1[[#This Row],[Ask Price]],Table1[[#This Row],[Face value]])</f>
        <v>8.1200000000004283E-2</v>
      </c>
      <c r="W548" s="24">
        <f>Table1[[#This Row],[IRR]]*Table1[[#This Row],[Coupon Frequency2]]</f>
        <v>8.1200000000004283E-2</v>
      </c>
      <c r="X548" s="25" cm="1">
        <f t="array" ref="X5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8" s="26">
        <f>DURATION(Table1[[#This Row],[Issue date]],Table1[[#This Row],[Maturity date]],Table1[[#This Row],[Current coupon %]],Table1[[#This Row],[Yield (Annualised)]],Table1[[#This Row],[Coupon Frequency2]])</f>
        <v>7.2158355145235484</v>
      </c>
      <c r="Z548" s="26">
        <f>Table1[[#This Row],[Macaulay Duration in Years]]/(1+Table1[[#This Row],[IRR]])</f>
        <v>6.6739137204250083</v>
      </c>
      <c r="AA548" s="27">
        <f>VLOOKUP(Table1[[#This Row],[Yield Cluster]],'[1]Cluster Details'!$B$3:$C$16,2,0)</f>
        <v>7.8548801574189142E-2</v>
      </c>
      <c r="AB548" s="28">
        <f>PRICE(Table1[[#This Row],[Issue date]],Table1[[#This Row],[Maturity date]],Table1[[#This Row],[Current coupon %]],Table1[[#This Row],[Average Cluster Yield]],100,Table1[[#This Row],[Coupon Frequency2]])*Table1[[#This Row],[Face value]]/100</f>
        <v>1017906.7922337069</v>
      </c>
      <c r="AC548" s="27" t="str">
        <f>IF(Table1[[#This Row],[Ask Price]]&gt;Table1[[#This Row],[Calculated Bond Price]],"Rich","Cheap")</f>
        <v>Cheap</v>
      </c>
      <c r="AD548" s="28">
        <f>PRICE(Table1[[#This Row],[Issue date]],Table1[[#This Row],[Maturity date]],Table1[[#This Row],[Current coupon %]],Table1[[#This Row],[Yield (Annualised)]]+$AE$2,100,Table1[[#This Row],[Coupon Frequency2]])*Table1[[#This Row],[Face value]]/100</f>
        <v>936161.01397846045</v>
      </c>
      <c r="AE548" s="28">
        <f>PRICE(Table1[[#This Row],[Issue date]],Table1[[#This Row],[Maturity date]],Table1[[#This Row],[Current coupon %]],Table1[[#This Row],[Yield (Annualised)]]-$AE$2,100,Table1[[#This Row],[Coupon Frequency2]])*Table1[[#This Row],[Face value]]/100</f>
        <v>1069847.8669739089</v>
      </c>
      <c r="AF548" s="28">
        <f>(Table1[[#This Row],[P (+ shock)]]+Table1[[#This Row],[P (-shock)]]-2*Table1[[#This Row],[Ask Price]])/(2*Table1[[#This Row],[Ask Price]]*($AE$2^2))</f>
        <v>30.044404761847108</v>
      </c>
    </row>
    <row r="549" spans="1:32" x14ac:dyDescent="0.25">
      <c r="A549" s="21" t="s">
        <v>1142</v>
      </c>
      <c r="B549" s="3" t="s">
        <v>1143</v>
      </c>
      <c r="C549" s="3" t="s">
        <v>19</v>
      </c>
      <c r="D549" s="4">
        <v>44564</v>
      </c>
      <c r="E549" s="4">
        <v>46390</v>
      </c>
      <c r="F549" s="3">
        <v>1000</v>
      </c>
      <c r="G549" s="3" t="s">
        <v>20</v>
      </c>
      <c r="H549" s="3">
        <v>1048</v>
      </c>
      <c r="I549" s="3" t="s">
        <v>20</v>
      </c>
      <c r="J549" s="3">
        <v>104.8</v>
      </c>
      <c r="K549" s="3">
        <v>12</v>
      </c>
      <c r="L549" s="5">
        <v>8.5000000000000006E-2</v>
      </c>
      <c r="M549" s="3" t="s">
        <v>21</v>
      </c>
      <c r="N549" s="3">
        <v>473</v>
      </c>
      <c r="O549" s="6">
        <f>Table1[[#This Row],[Current coupon %]]*Table1[[#This Row],[Face value]]/Table1[[#This Row],[Ask Price]]</f>
        <v>8.110687022900763E-2</v>
      </c>
      <c r="P549" s="3"/>
      <c r="Q549" s="3" t="s">
        <v>22</v>
      </c>
      <c r="R549">
        <f t="shared" si="8"/>
        <v>5</v>
      </c>
      <c r="S549" s="22" cm="1">
        <f t="array" ref="S549">_xlfn.IFS(Table1[[#This Row],[Coupon frequency]]="Semi-annual",2,Table1[[#This Row],[Coupon frequency]]="Quarterly",4,Table1[[#This Row],[Coupon frequency]]="Annual",1,Table1[[#This Row],[Coupon frequency]]="Every 4 months",3,Table1[[#This Row],[Coupon frequency]]="Monthly",12)</f>
        <v>1</v>
      </c>
      <c r="T549">
        <f>Table1[[#This Row],[Term to Maturity (Years)]]*Table1[[#This Row],[Coupon Frequency2]]</f>
        <v>5</v>
      </c>
      <c r="U549">
        <f>Table1[[#This Row],[Face value]]*Table1[[#This Row],[Current coupon %]]/Table1[[#This Row],[Coupon Frequency2]]</f>
        <v>85</v>
      </c>
      <c r="V549" s="23">
        <f>RATE(Table1[[#This Row],[Total No. of Coupons]],Table1[[#This Row],[Coupon Amount]],-Table1[[#This Row],[Ask Price]],Table1[[#This Row],[Face value]])</f>
        <v>7.3192987573514598E-2</v>
      </c>
      <c r="W549" s="24">
        <f>Table1[[#This Row],[IRR]]*Table1[[#This Row],[Coupon Frequency2]]</f>
        <v>7.3192987573514598E-2</v>
      </c>
      <c r="X549" s="25" cm="1">
        <f t="array" ref="X5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49" s="26">
        <f>DURATION(Table1[[#This Row],[Issue date]],Table1[[#This Row],[Maturity date]],Table1[[#This Row],[Current coupon %]],Table1[[#This Row],[Yield (Annualised)]],Table1[[#This Row],[Coupon Frequency2]])</f>
        <v>4.2940566418597186</v>
      </c>
      <c r="Z549" s="26">
        <f>Table1[[#This Row],[Macaulay Duration in Years]]/(1+Table1[[#This Row],[IRR]])</f>
        <v>4.0011970741334837</v>
      </c>
      <c r="AA549" s="27">
        <f>VLOOKUP(Table1[[#This Row],[Yield Cluster]],'[1]Cluster Details'!$B$3:$C$16,2,0)</f>
        <v>7.8548801574189142E-2</v>
      </c>
      <c r="AB549" s="28">
        <f>PRICE(Table1[[#This Row],[Issue date]],Table1[[#This Row],[Maturity date]],Table1[[#This Row],[Current coupon %]],Table1[[#This Row],[Average Cluster Yield]],100,Table1[[#This Row],[Coupon Frequency2]])*Table1[[#This Row],[Face value]]/100</f>
        <v>1025.8565848138549</v>
      </c>
      <c r="AC549" s="27" t="str">
        <f>IF(Table1[[#This Row],[Ask Price]]&gt;Table1[[#This Row],[Calculated Bond Price]],"Rich","Cheap")</f>
        <v>Rich</v>
      </c>
      <c r="AD549" s="28">
        <f>PRICE(Table1[[#This Row],[Issue date]],Table1[[#This Row],[Maturity date]],Table1[[#This Row],[Current coupon %]],Table1[[#This Row],[Yield (Annualised)]]+$AE$2,100,Table1[[#This Row],[Coupon Frequency2]])*Table1[[#This Row],[Face value]]/100</f>
        <v>1007.1545652570378</v>
      </c>
      <c r="AE549" s="28">
        <f>PRICE(Table1[[#This Row],[Issue date]],Table1[[#This Row],[Maturity date]],Table1[[#This Row],[Current coupon %]],Table1[[#This Row],[Yield (Annualised)]]-$AE$2,100,Table1[[#This Row],[Coupon Frequency2]])*Table1[[#This Row],[Face value]]/100</f>
        <v>1091.0666247344388</v>
      </c>
      <c r="AF549" s="28">
        <f>(Table1[[#This Row],[P (+ shock)]]+Table1[[#This Row],[P (-shock)]]-2*Table1[[#This Row],[Ask Price]])/(2*Table1[[#This Row],[Ask Price]]*($AE$2^2))</f>
        <v>10.597280493685219</v>
      </c>
    </row>
    <row r="550" spans="1:32" x14ac:dyDescent="0.25">
      <c r="A550" s="21" t="s">
        <v>1144</v>
      </c>
      <c r="B550" s="3" t="s">
        <v>1145</v>
      </c>
      <c r="C550" s="3" t="s">
        <v>19</v>
      </c>
      <c r="D550" s="4">
        <v>44945</v>
      </c>
      <c r="E550" s="4">
        <v>50424</v>
      </c>
      <c r="F550" s="3">
        <v>100000</v>
      </c>
      <c r="G550" s="3" t="s">
        <v>20</v>
      </c>
      <c r="H550" s="3">
        <v>95000</v>
      </c>
      <c r="I550" s="3" t="s">
        <v>20</v>
      </c>
      <c r="J550" s="3">
        <v>95</v>
      </c>
      <c r="K550" s="3">
        <v>3</v>
      </c>
      <c r="L550" s="5">
        <v>7.6999999999999999E-2</v>
      </c>
      <c r="M550" s="3" t="s">
        <v>21</v>
      </c>
      <c r="N550" s="3">
        <v>4507</v>
      </c>
      <c r="O550" s="6">
        <f>Table1[[#This Row],[Current coupon %]]*Table1[[#This Row],[Face value]]/Table1[[#This Row],[Ask Price]]</f>
        <v>8.1052631578947362E-2</v>
      </c>
      <c r="P550" s="3" t="s">
        <v>297</v>
      </c>
      <c r="Q550" s="3" t="s">
        <v>22</v>
      </c>
      <c r="R550">
        <f t="shared" si="8"/>
        <v>15</v>
      </c>
      <c r="S550" s="22" cm="1">
        <f t="array" ref="S550">_xlfn.IFS(Table1[[#This Row],[Coupon frequency]]="Semi-annual",2,Table1[[#This Row],[Coupon frequency]]="Quarterly",4,Table1[[#This Row],[Coupon frequency]]="Annual",1,Table1[[#This Row],[Coupon frequency]]="Every 4 months",3,Table1[[#This Row],[Coupon frequency]]="Monthly",12)</f>
        <v>1</v>
      </c>
      <c r="T550">
        <f>Table1[[#This Row],[Term to Maturity (Years)]]*Table1[[#This Row],[Coupon Frequency2]]</f>
        <v>15</v>
      </c>
      <c r="U550">
        <f>Table1[[#This Row],[Face value]]*Table1[[#This Row],[Current coupon %]]/Table1[[#This Row],[Coupon Frequency2]]</f>
        <v>7700</v>
      </c>
      <c r="V550" s="23">
        <f>RATE(Table1[[#This Row],[Total No. of Coupons]],Table1[[#This Row],[Coupon Amount]],-Table1[[#This Row],[Ask Price]],Table1[[#This Row],[Face value]])</f>
        <v>8.2947011400228782E-2</v>
      </c>
      <c r="W550" s="24">
        <f>Table1[[#This Row],[IRR]]*Table1[[#This Row],[Coupon Frequency2]]</f>
        <v>8.2947011400228782E-2</v>
      </c>
      <c r="X550" s="25" cm="1">
        <f t="array" ref="X5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0" s="26">
        <f>DURATION(Table1[[#This Row],[Issue date]],Table1[[#This Row],[Maturity date]],Table1[[#This Row],[Current coupon %]],Table1[[#This Row],[Yield (Annualised)]],Table1[[#This Row],[Coupon Frequency2]])</f>
        <v>9.2396016385427888</v>
      </c>
      <c r="Z550" s="26">
        <f>Table1[[#This Row],[Macaulay Duration in Years]]/(1+Table1[[#This Row],[IRR]])</f>
        <v>8.5319055699652093</v>
      </c>
      <c r="AA550" s="27">
        <f>VLOOKUP(Table1[[#This Row],[Yield Cluster]],'[1]Cluster Details'!$B$3:$C$16,2,0)</f>
        <v>7.8548801574189142E-2</v>
      </c>
      <c r="AB550" s="28">
        <f>PRICE(Table1[[#This Row],[Issue date]],Table1[[#This Row],[Maturity date]],Table1[[#This Row],[Current coupon %]],Table1[[#This Row],[Average Cluster Yield]],100,Table1[[#This Row],[Coupon Frequency2]])*Table1[[#This Row],[Face value]]/100</f>
        <v>98662.478316175737</v>
      </c>
      <c r="AC550" s="27" t="str">
        <f>IF(Table1[[#This Row],[Ask Price]]&gt;Table1[[#This Row],[Calculated Bond Price]],"Rich","Cheap")</f>
        <v>Cheap</v>
      </c>
      <c r="AD550" s="28">
        <f>PRICE(Table1[[#This Row],[Issue date]],Table1[[#This Row],[Maturity date]],Table1[[#This Row],[Current coupon %]],Table1[[#This Row],[Yield (Annualised)]]+$AE$2,100,Table1[[#This Row],[Coupon Frequency2]])*Table1[[#This Row],[Face value]]/100</f>
        <v>87366.219887104831</v>
      </c>
      <c r="AE550" s="28">
        <f>PRICE(Table1[[#This Row],[Issue date]],Table1[[#This Row],[Maturity date]],Table1[[#This Row],[Current coupon %]],Table1[[#This Row],[Yield (Annualised)]]-$AE$2,100,Table1[[#This Row],[Coupon Frequency2]])*Table1[[#This Row],[Face value]]/100</f>
        <v>103623.68670555099</v>
      </c>
      <c r="AF550" s="28">
        <f>(Table1[[#This Row],[P (+ shock)]]+Table1[[#This Row],[P (-shock)]]-2*Table1[[#This Row],[Ask Price]])/(2*Table1[[#This Row],[Ask Price]]*($AE$2^2))</f>
        <v>52.100346981884762</v>
      </c>
    </row>
    <row r="551" spans="1:32" x14ac:dyDescent="0.25">
      <c r="A551" s="21" t="s">
        <v>1146</v>
      </c>
      <c r="B551" s="3" t="s">
        <v>1147</v>
      </c>
      <c r="C551" s="3" t="s">
        <v>19</v>
      </c>
      <c r="D551" s="4">
        <v>42908</v>
      </c>
      <c r="E551" s="4">
        <v>46560</v>
      </c>
      <c r="F551" s="3">
        <v>1000000</v>
      </c>
      <c r="G551" s="3" t="s">
        <v>20</v>
      </c>
      <c r="H551" s="3">
        <v>1005640</v>
      </c>
      <c r="I551" s="3" t="s">
        <v>20</v>
      </c>
      <c r="J551" s="3">
        <v>100.56399999999999</v>
      </c>
      <c r="K551" s="3">
        <v>2</v>
      </c>
      <c r="L551" s="5">
        <v>8.1500000000000003E-2</v>
      </c>
      <c r="M551" s="3" t="s">
        <v>21</v>
      </c>
      <c r="N551" s="3">
        <v>643</v>
      </c>
      <c r="O551" s="6">
        <f>Table1[[#This Row],[Current coupon %]]*Table1[[#This Row],[Face value]]/Table1[[#This Row],[Ask Price]]</f>
        <v>8.1042917942802592E-2</v>
      </c>
      <c r="P551" s="3" t="s">
        <v>297</v>
      </c>
      <c r="Q551" s="3" t="s">
        <v>22</v>
      </c>
      <c r="R551">
        <f t="shared" si="8"/>
        <v>10</v>
      </c>
      <c r="S551" s="22" cm="1">
        <f t="array" ref="S551">_xlfn.IFS(Table1[[#This Row],[Coupon frequency]]="Semi-annual",2,Table1[[#This Row],[Coupon frequency]]="Quarterly",4,Table1[[#This Row],[Coupon frequency]]="Annual",1,Table1[[#This Row],[Coupon frequency]]="Every 4 months",3,Table1[[#This Row],[Coupon frequency]]="Monthly",12)</f>
        <v>1</v>
      </c>
      <c r="T551">
        <f>Table1[[#This Row],[Term to Maturity (Years)]]*Table1[[#This Row],[Coupon Frequency2]]</f>
        <v>10</v>
      </c>
      <c r="U551">
        <f>Table1[[#This Row],[Face value]]*Table1[[#This Row],[Current coupon %]]/Table1[[#This Row],[Coupon Frequency2]]</f>
        <v>81500</v>
      </c>
      <c r="V551" s="23">
        <f>RATE(Table1[[#This Row],[Total No. of Coupons]],Table1[[#This Row],[Coupon Amount]],-Table1[[#This Row],[Ask Price]],Table1[[#This Row],[Face value]])</f>
        <v>8.0656981267435673E-2</v>
      </c>
      <c r="W551" s="24">
        <f>Table1[[#This Row],[IRR]]*Table1[[#This Row],[Coupon Frequency2]]</f>
        <v>8.0656981267435673E-2</v>
      </c>
      <c r="X551" s="25" cm="1">
        <f t="array" ref="X5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1" s="26">
        <f>DURATION(Table1[[#This Row],[Issue date]],Table1[[#This Row],[Maturity date]],Table1[[#This Row],[Current coupon %]],Table1[[#This Row],[Yield (Annualised)]],Table1[[#This Row],[Coupon Frequency2]])</f>
        <v>7.2166026889520385</v>
      </c>
      <c r="Z551" s="26">
        <f>Table1[[#This Row],[Macaulay Duration in Years]]/(1+Table1[[#This Row],[IRR]])</f>
        <v>6.6779772065027814</v>
      </c>
      <c r="AA551" s="27">
        <f>VLOOKUP(Table1[[#This Row],[Yield Cluster]],'[1]Cluster Details'!$B$3:$C$16,2,0)</f>
        <v>7.8548801574189142E-2</v>
      </c>
      <c r="AB551" s="28">
        <f>PRICE(Table1[[#This Row],[Issue date]],Table1[[#This Row],[Maturity date]],Table1[[#This Row],[Current coupon %]],Table1[[#This Row],[Average Cluster Yield]],100,Table1[[#This Row],[Coupon Frequency2]])*Table1[[#This Row],[Face value]]/100</f>
        <v>1019933.0599086619</v>
      </c>
      <c r="AC551" s="27" t="str">
        <f>IF(Table1[[#This Row],[Ask Price]]&gt;Table1[[#This Row],[Calculated Bond Price]],"Rich","Cheap")</f>
        <v>Cheap</v>
      </c>
      <c r="AD551" s="28">
        <f>PRICE(Table1[[#This Row],[Issue date]],Table1[[#This Row],[Maturity date]],Table1[[#This Row],[Current coupon %]],Table1[[#This Row],[Yield (Annualised)]]+$AE$2,100,Table1[[#This Row],[Coupon Frequency2]])*Table1[[#This Row],[Face value]]/100</f>
        <v>941403.18717765389</v>
      </c>
      <c r="AE551" s="28">
        <f>PRICE(Table1[[#This Row],[Issue date]],Table1[[#This Row],[Maturity date]],Table1[[#This Row],[Current coupon %]],Table1[[#This Row],[Yield (Annualised)]]-$AE$2,100,Table1[[#This Row],[Coupon Frequency2]])*Table1[[#This Row],[Face value]]/100</f>
        <v>1075926.0829457431</v>
      </c>
      <c r="AF551" s="28">
        <f>(Table1[[#This Row],[P (+ shock)]]+Table1[[#This Row],[P (-shock)]]-2*Table1[[#This Row],[Ask Price]])/(2*Table1[[#This Row],[Ask Price]]*($AE$2^2))</f>
        <v>30.076717927871801</v>
      </c>
    </row>
    <row r="552" spans="1:32" x14ac:dyDescent="0.25">
      <c r="A552" s="21" t="s">
        <v>1148</v>
      </c>
      <c r="B552" s="3" t="s">
        <v>1149</v>
      </c>
      <c r="C552" s="3" t="s">
        <v>19</v>
      </c>
      <c r="D552" s="4">
        <v>45267</v>
      </c>
      <c r="E552" s="4">
        <v>47094</v>
      </c>
      <c r="F552" s="3">
        <v>1000</v>
      </c>
      <c r="G552" s="3" t="s">
        <v>20</v>
      </c>
      <c r="H552" s="3">
        <v>1062</v>
      </c>
      <c r="I552" s="3" t="s">
        <v>20</v>
      </c>
      <c r="J552" s="3">
        <v>106.2</v>
      </c>
      <c r="K552" s="3">
        <v>50</v>
      </c>
      <c r="L552" s="5">
        <v>8.5999999999999993E-2</v>
      </c>
      <c r="M552" s="3" t="s">
        <v>21</v>
      </c>
      <c r="N552" s="3">
        <v>1177</v>
      </c>
      <c r="O552" s="6">
        <f>Table1[[#This Row],[Current coupon %]]*Table1[[#This Row],[Face value]]/Table1[[#This Row],[Ask Price]]</f>
        <v>8.0979284369114876E-2</v>
      </c>
      <c r="P552" s="3"/>
      <c r="Q552" s="3" t="s">
        <v>22</v>
      </c>
      <c r="R552">
        <f t="shared" si="8"/>
        <v>5</v>
      </c>
      <c r="S552" s="22" cm="1">
        <f t="array" ref="S552">_xlfn.IFS(Table1[[#This Row],[Coupon frequency]]="Semi-annual",2,Table1[[#This Row],[Coupon frequency]]="Quarterly",4,Table1[[#This Row],[Coupon frequency]]="Annual",1,Table1[[#This Row],[Coupon frequency]]="Every 4 months",3,Table1[[#This Row],[Coupon frequency]]="Monthly",12)</f>
        <v>1</v>
      </c>
      <c r="T552">
        <f>Table1[[#This Row],[Term to Maturity (Years)]]*Table1[[#This Row],[Coupon Frequency2]]</f>
        <v>5</v>
      </c>
      <c r="U552">
        <f>Table1[[#This Row],[Face value]]*Table1[[#This Row],[Current coupon %]]/Table1[[#This Row],[Coupon Frequency2]]</f>
        <v>86</v>
      </c>
      <c r="V552" s="23">
        <f>RATE(Table1[[#This Row],[Total No. of Coupons]],Table1[[#This Row],[Coupon Amount]],-Table1[[#This Row],[Ask Price]],Table1[[#This Row],[Face value]])</f>
        <v>7.084456680708652E-2</v>
      </c>
      <c r="W552" s="24">
        <f>Table1[[#This Row],[IRR]]*Table1[[#This Row],[Coupon Frequency2]]</f>
        <v>7.084456680708652E-2</v>
      </c>
      <c r="X552" s="25" cm="1">
        <f t="array" ref="X5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2" s="26">
        <f>DURATION(Table1[[#This Row],[Issue date]],Table1[[#This Row],[Maturity date]],Table1[[#This Row],[Current coupon %]],Table1[[#This Row],[Yield (Annualised)]],Table1[[#This Row],[Coupon Frequency2]])</f>
        <v>4.2921777939342762</v>
      </c>
      <c r="Z552" s="26">
        <f>Table1[[#This Row],[Macaulay Duration in Years]]/(1+Table1[[#This Row],[IRR]])</f>
        <v>4.0082173706424706</v>
      </c>
      <c r="AA552" s="27">
        <f>VLOOKUP(Table1[[#This Row],[Yield Cluster]],'[1]Cluster Details'!$B$3:$C$16,2,0)</f>
        <v>7.8548801574189142E-2</v>
      </c>
      <c r="AB552" s="28">
        <f>PRICE(Table1[[#This Row],[Issue date]],Table1[[#This Row],[Maturity date]],Table1[[#This Row],[Current coupon %]],Table1[[#This Row],[Average Cluster Yield]],100,Table1[[#This Row],[Coupon Frequency2]])*Table1[[#This Row],[Face value]]/100</f>
        <v>1029.8646129517592</v>
      </c>
      <c r="AC552" s="27" t="str">
        <f>IF(Table1[[#This Row],[Ask Price]]&gt;Table1[[#This Row],[Calculated Bond Price]],"Rich","Cheap")</f>
        <v>Rich</v>
      </c>
      <c r="AD552" s="28">
        <f>PRICE(Table1[[#This Row],[Issue date]],Table1[[#This Row],[Maturity date]],Table1[[#This Row],[Current coupon %]],Table1[[#This Row],[Yield (Annualised)]]+$AE$2,100,Table1[[#This Row],[Coupon Frequency2]])*Table1[[#This Row],[Face value]]/100</f>
        <v>1020.5384116650051</v>
      </c>
      <c r="AE552" s="28">
        <f>PRICE(Table1[[#This Row],[Issue date]],Table1[[#This Row],[Maturity date]],Table1[[#This Row],[Current coupon %]],Table1[[#This Row],[Yield (Annualised)]]-$AE$2,100,Table1[[#This Row],[Coupon Frequency2]])*Table1[[#This Row],[Face value]]/100</f>
        <v>1105.7208197315194</v>
      </c>
      <c r="AF552" s="28">
        <f>(Table1[[#This Row],[P (+ shock)]]+Table1[[#This Row],[P (-shock)]]-2*Table1[[#This Row],[Ask Price]])/(2*Table1[[#This Row],[Ask Price]]*($AE$2^2))</f>
        <v>10.636682657837492</v>
      </c>
    </row>
    <row r="553" spans="1:32" x14ac:dyDescent="0.25">
      <c r="A553" s="21" t="s">
        <v>1150</v>
      </c>
      <c r="B553" s="3" t="s">
        <v>1151</v>
      </c>
      <c r="C553" s="3" t="s">
        <v>19</v>
      </c>
      <c r="D553" s="4">
        <v>45316</v>
      </c>
      <c r="E553" s="4">
        <v>47143</v>
      </c>
      <c r="F553" s="3">
        <v>1000</v>
      </c>
      <c r="G553" s="3" t="s">
        <v>20</v>
      </c>
      <c r="H553" s="3">
        <v>1049.99</v>
      </c>
      <c r="I553" s="3" t="s">
        <v>20</v>
      </c>
      <c r="J553" s="3">
        <v>104.999</v>
      </c>
      <c r="K553" s="3">
        <v>25</v>
      </c>
      <c r="L553" s="5">
        <v>8.5000000000000006E-2</v>
      </c>
      <c r="M553" s="3" t="s">
        <v>21</v>
      </c>
      <c r="N553" s="3">
        <v>1226</v>
      </c>
      <c r="O553" s="6">
        <f>Table1[[#This Row],[Current coupon %]]*Table1[[#This Row],[Face value]]/Table1[[#This Row],[Ask Price]]</f>
        <v>8.0953151934780337E-2</v>
      </c>
      <c r="P553" s="3" t="s">
        <v>97</v>
      </c>
      <c r="Q553" s="3" t="s">
        <v>22</v>
      </c>
      <c r="R553">
        <f t="shared" si="8"/>
        <v>5</v>
      </c>
      <c r="S553" s="22" cm="1">
        <f t="array" ref="S553">_xlfn.IFS(Table1[[#This Row],[Coupon frequency]]="Semi-annual",2,Table1[[#This Row],[Coupon frequency]]="Quarterly",4,Table1[[#This Row],[Coupon frequency]]="Annual",1,Table1[[#This Row],[Coupon frequency]]="Every 4 months",3,Table1[[#This Row],[Coupon frequency]]="Monthly",12)</f>
        <v>1</v>
      </c>
      <c r="T553">
        <f>Table1[[#This Row],[Term to Maturity (Years)]]*Table1[[#This Row],[Coupon Frequency2]]</f>
        <v>5</v>
      </c>
      <c r="U553">
        <f>Table1[[#This Row],[Face value]]*Table1[[#This Row],[Current coupon %]]/Table1[[#This Row],[Coupon Frequency2]]</f>
        <v>85</v>
      </c>
      <c r="V553" s="23">
        <f>RATE(Table1[[#This Row],[Total No. of Coupons]],Table1[[#This Row],[Coupon Amount]],-Table1[[#This Row],[Ask Price]],Table1[[#This Row],[Face value]])</f>
        <v>7.2719011224739644E-2</v>
      </c>
      <c r="W553" s="24">
        <f>Table1[[#This Row],[IRR]]*Table1[[#This Row],[Coupon Frequency2]]</f>
        <v>7.2719011224739644E-2</v>
      </c>
      <c r="X553" s="25" cm="1">
        <f t="array" ref="X5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3" s="26">
        <f>DURATION(Table1[[#This Row],[Issue date]],Table1[[#This Row],[Maturity date]],Table1[[#This Row],[Current coupon %]],Table1[[#This Row],[Yield (Annualised)]],Table1[[#This Row],[Coupon Frequency2]])</f>
        <v>4.2947932540231433</v>
      </c>
      <c r="Z553" s="26">
        <f>Table1[[#This Row],[Macaulay Duration in Years]]/(1+Table1[[#This Row],[IRR]])</f>
        <v>4.0036516637471662</v>
      </c>
      <c r="AA553" s="27">
        <f>VLOOKUP(Table1[[#This Row],[Yield Cluster]],'[1]Cluster Details'!$B$3:$C$16,2,0)</f>
        <v>7.8548801574189142E-2</v>
      </c>
      <c r="AB553" s="28">
        <f>PRICE(Table1[[#This Row],[Issue date]],Table1[[#This Row],[Maturity date]],Table1[[#This Row],[Current coupon %]],Table1[[#This Row],[Average Cluster Yield]],100,Table1[[#This Row],[Coupon Frequency2]])*Table1[[#This Row],[Face value]]/100</f>
        <v>1025.8565848138549</v>
      </c>
      <c r="AC553" s="27" t="str">
        <f>IF(Table1[[#This Row],[Ask Price]]&gt;Table1[[#This Row],[Calculated Bond Price]],"Rich","Cheap")</f>
        <v>Rich</v>
      </c>
      <c r="AD553" s="28">
        <f>PRICE(Table1[[#This Row],[Issue date]],Table1[[#This Row],[Maturity date]],Table1[[#This Row],[Current coupon %]],Table1[[#This Row],[Yield (Annualised)]]+$AE$2,100,Table1[[#This Row],[Coupon Frequency2]])*Table1[[#This Row],[Face value]]/100</f>
        <v>1009.0424325296558</v>
      </c>
      <c r="AE553" s="28">
        <f>PRICE(Table1[[#This Row],[Issue date]],Table1[[#This Row],[Maturity date]],Table1[[#This Row],[Current coupon %]],Table1[[#This Row],[Yield (Annualised)]]-$AE$2,100,Table1[[#This Row],[Coupon Frequency2]])*Table1[[#This Row],[Face value]]/100</f>
        <v>1093.1654490673689</v>
      </c>
      <c r="AF553" s="28">
        <f>(Table1[[#This Row],[P (+ shock)]]+Table1[[#This Row],[P (-shock)]]-2*Table1[[#This Row],[Ask Price]])/(2*Table1[[#This Row],[Ask Price]]*($AE$2^2))</f>
        <v>10.609061024506932</v>
      </c>
    </row>
    <row r="554" spans="1:32" x14ac:dyDescent="0.25">
      <c r="A554" s="21" t="s">
        <v>1152</v>
      </c>
      <c r="B554" s="3" t="s">
        <v>1153</v>
      </c>
      <c r="C554" s="3" t="s">
        <v>19</v>
      </c>
      <c r="D554" s="4">
        <v>45573</v>
      </c>
      <c r="E554" s="4">
        <v>49223</v>
      </c>
      <c r="F554" s="3">
        <v>100000</v>
      </c>
      <c r="G554" s="3" t="s">
        <v>20</v>
      </c>
      <c r="H554" s="3">
        <v>101877.24</v>
      </c>
      <c r="I554" s="3" t="s">
        <v>20</v>
      </c>
      <c r="J554" s="3">
        <v>101.87724</v>
      </c>
      <c r="K554" s="3">
        <v>1000</v>
      </c>
      <c r="L554" s="5">
        <v>8.2400000000000001E-2</v>
      </c>
      <c r="M554" s="3" t="s">
        <v>21</v>
      </c>
      <c r="N554" s="3">
        <v>3306</v>
      </c>
      <c r="O554" s="6">
        <f>Table1[[#This Row],[Current coupon %]]*Table1[[#This Row],[Face value]]/Table1[[#This Row],[Ask Price]]</f>
        <v>8.0881657178777114E-2</v>
      </c>
      <c r="P554" s="3"/>
      <c r="Q554" s="3" t="s">
        <v>22</v>
      </c>
      <c r="R554">
        <f t="shared" si="8"/>
        <v>10</v>
      </c>
      <c r="S554" s="22" cm="1">
        <f t="array" ref="S554">_xlfn.IFS(Table1[[#This Row],[Coupon frequency]]="Semi-annual",2,Table1[[#This Row],[Coupon frequency]]="Quarterly",4,Table1[[#This Row],[Coupon frequency]]="Annual",1,Table1[[#This Row],[Coupon frequency]]="Every 4 months",3,Table1[[#This Row],[Coupon frequency]]="Monthly",12)</f>
        <v>1</v>
      </c>
      <c r="T554">
        <f>Table1[[#This Row],[Term to Maturity (Years)]]*Table1[[#This Row],[Coupon Frequency2]]</f>
        <v>10</v>
      </c>
      <c r="U554">
        <f>Table1[[#This Row],[Face value]]*Table1[[#This Row],[Current coupon %]]/Table1[[#This Row],[Coupon Frequency2]]</f>
        <v>8240</v>
      </c>
      <c r="V554" s="23">
        <f>RATE(Table1[[#This Row],[Total No. of Coupons]],Table1[[#This Row],[Coupon Amount]],-Table1[[#This Row],[Ask Price]],Table1[[#This Row],[Face value]])</f>
        <v>7.9607312028194169E-2</v>
      </c>
      <c r="W554" s="24">
        <f>Table1[[#This Row],[IRR]]*Table1[[#This Row],[Coupon Frequency2]]</f>
        <v>7.9607312028194169E-2</v>
      </c>
      <c r="X554" s="25" cm="1">
        <f t="array" ref="X5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4" s="26">
        <f>DURATION(Table1[[#This Row],[Issue date]],Table1[[#This Row],[Maturity date]],Table1[[#This Row],[Current coupon %]],Table1[[#This Row],[Yield (Annualised)]],Table1[[#This Row],[Coupon Frequency2]])</f>
        <v>7.2076380105288083</v>
      </c>
      <c r="Z554" s="26">
        <f>Table1[[#This Row],[Macaulay Duration in Years]]/(1+Table1[[#This Row],[IRR]])</f>
        <v>6.676166352549286</v>
      </c>
      <c r="AA554" s="27">
        <f>VLOOKUP(Table1[[#This Row],[Yield Cluster]],'[1]Cluster Details'!$B$3:$C$16,2,0)</f>
        <v>7.8548801574189142E-2</v>
      </c>
      <c r="AB554" s="28">
        <f>PRICE(Table1[[#This Row],[Issue date]],Table1[[#This Row],[Maturity date]],Table1[[#This Row],[Current coupon %]],Table1[[#This Row],[Average Cluster Yield]],100,Table1[[#This Row],[Coupon Frequency2]])*Table1[[#This Row],[Face value]]/100</f>
        <v>102598.51943668215</v>
      </c>
      <c r="AC554" s="27" t="str">
        <f>IF(Table1[[#This Row],[Ask Price]]&gt;Table1[[#This Row],[Calculated Bond Price]],"Rich","Cheap")</f>
        <v>Cheap</v>
      </c>
      <c r="AD554" s="28">
        <f>PRICE(Table1[[#This Row],[Issue date]],Table1[[#This Row],[Maturity date]],Table1[[#This Row],[Current coupon %]],Table1[[#This Row],[Yield (Annualised)]]+$AE$2,100,Table1[[#This Row],[Coupon Frequency2]])*Table1[[#This Row],[Face value]]/100</f>
        <v>95366.288587827032</v>
      </c>
      <c r="AE554" s="28">
        <f>PRICE(Table1[[#This Row],[Issue date]],Table1[[#This Row],[Maturity date]],Table1[[#This Row],[Current coupon %]],Table1[[#This Row],[Yield (Annualised)]]-$AE$2,100,Table1[[#This Row],[Coupon Frequency2]])*Table1[[#This Row],[Face value]]/100</f>
        <v>108996.36020703753</v>
      </c>
      <c r="AF554" s="28">
        <f>(Table1[[#This Row],[P (+ shock)]]+Table1[[#This Row],[P (-shock)]]-2*Table1[[#This Row],[Ask Price]])/(2*Table1[[#This Row],[Ask Price]]*($AE$2^2))</f>
        <v>29.848118915694798</v>
      </c>
    </row>
    <row r="555" spans="1:32" x14ac:dyDescent="0.25">
      <c r="A555" s="21" t="s">
        <v>1154</v>
      </c>
      <c r="B555" s="3" t="s">
        <v>1155</v>
      </c>
      <c r="C555" s="3" t="s">
        <v>19</v>
      </c>
      <c r="D555" s="4">
        <v>43433</v>
      </c>
      <c r="E555" s="4">
        <v>47086</v>
      </c>
      <c r="F555" s="3">
        <v>1000000</v>
      </c>
      <c r="G555" s="3" t="s">
        <v>20</v>
      </c>
      <c r="H555" s="3">
        <v>1061250</v>
      </c>
      <c r="I555" s="3" t="s">
        <v>20</v>
      </c>
      <c r="J555" s="3">
        <v>106.125</v>
      </c>
      <c r="K555" s="3">
        <v>1</v>
      </c>
      <c r="L555" s="5">
        <v>8.5600000000000009E-2</v>
      </c>
      <c r="M555" s="3" t="s">
        <v>53</v>
      </c>
      <c r="N555" s="3">
        <v>1169</v>
      </c>
      <c r="O555" s="6">
        <f>Table1[[#This Row],[Current coupon %]]*Table1[[#This Row],[Face value]]/Table1[[#This Row],[Ask Price]]</f>
        <v>8.0659599528857498E-2</v>
      </c>
      <c r="P555" s="3"/>
      <c r="Q555" s="3" t="s">
        <v>22</v>
      </c>
      <c r="R555">
        <f t="shared" si="8"/>
        <v>10</v>
      </c>
      <c r="S555" s="22" cm="1">
        <f t="array" ref="S555">_xlfn.IFS(Table1[[#This Row],[Coupon frequency]]="Semi-annual",2,Table1[[#This Row],[Coupon frequency]]="Quarterly",4,Table1[[#This Row],[Coupon frequency]]="Annual",1,Table1[[#This Row],[Coupon frequency]]="Every 4 months",3,Table1[[#This Row],[Coupon frequency]]="Monthly",12)</f>
        <v>2</v>
      </c>
      <c r="T555">
        <f>Table1[[#This Row],[Term to Maturity (Years)]]*Table1[[#This Row],[Coupon Frequency2]]</f>
        <v>20</v>
      </c>
      <c r="U555">
        <f>Table1[[#This Row],[Face value]]*Table1[[#This Row],[Current coupon %]]/Table1[[#This Row],[Coupon Frequency2]]</f>
        <v>42800.000000000007</v>
      </c>
      <c r="V555" s="23">
        <f>RATE(Table1[[#This Row],[Total No. of Coupons]],Table1[[#This Row],[Coupon Amount]],-Table1[[#This Row],[Ask Price]],Table1[[#This Row],[Face value]])</f>
        <v>3.8358387476171193E-2</v>
      </c>
      <c r="W555" s="24">
        <f>Table1[[#This Row],[IRR]]*Table1[[#This Row],[Coupon Frequency2]]</f>
        <v>7.6716774952342387E-2</v>
      </c>
      <c r="X555" s="25" cm="1">
        <f t="array" ref="X5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5" s="26">
        <f>DURATION(Table1[[#This Row],[Issue date]],Table1[[#This Row],[Maturity date]],Table1[[#This Row],[Current coupon %]],Table1[[#This Row],[Yield (Annualised)]],Table1[[#This Row],[Coupon Frequency2]])</f>
        <v>7.0135139420833177</v>
      </c>
      <c r="Z555" s="26">
        <f>Table1[[#This Row],[Macaulay Duration in Years]]/(1+Table1[[#This Row],[IRR]])</f>
        <v>6.7544250874019802</v>
      </c>
      <c r="AA555" s="27">
        <f>VLOOKUP(Table1[[#This Row],[Yield Cluster]],'[1]Cluster Details'!$B$3:$C$16,2,0)</f>
        <v>7.8548801574189142E-2</v>
      </c>
      <c r="AB555" s="28">
        <f>PRICE(Table1[[#This Row],[Issue date]],Table1[[#This Row],[Maturity date]],Table1[[#This Row],[Current coupon %]],Table1[[#This Row],[Average Cluster Yield]],100,Table1[[#This Row],[Coupon Frequency2]])*Table1[[#This Row],[Face value]]/100</f>
        <v>1048223.3759188744</v>
      </c>
      <c r="AC555" s="27" t="str">
        <f>IF(Table1[[#This Row],[Ask Price]]&gt;Table1[[#This Row],[Calculated Bond Price]],"Rich","Cheap")</f>
        <v>Rich</v>
      </c>
      <c r="AD555" s="28">
        <f>PRICE(Table1[[#This Row],[Issue date]],Table1[[#This Row],[Maturity date]],Table1[[#This Row],[Current coupon %]],Table1[[#This Row],[Yield (Annualised)]]+$AE$2,100,Table1[[#This Row],[Coupon Frequency2]])*Table1[[#This Row],[Face value]]/100</f>
        <v>992632.09769840608</v>
      </c>
      <c r="AE555" s="28">
        <f>PRICE(Table1[[#This Row],[Issue date]],Table1[[#This Row],[Maturity date]],Table1[[#This Row],[Current coupon %]],Table1[[#This Row],[Yield (Annualised)]]-$AE$2,100,Table1[[#This Row],[Coupon Frequency2]])*Table1[[#This Row],[Face value]]/100</f>
        <v>1136203.2900988867</v>
      </c>
      <c r="AF555" s="28">
        <f>(Table1[[#This Row],[P (+ shock)]]+Table1[[#This Row],[P (-shock)]]-2*Table1[[#This Row],[Ask Price]])/(2*Table1[[#This Row],[Ask Price]]*($AE$2^2))</f>
        <v>29.848705758741048</v>
      </c>
    </row>
    <row r="556" spans="1:32" x14ac:dyDescent="0.25">
      <c r="A556" s="21" t="s">
        <v>1156</v>
      </c>
      <c r="B556" s="3" t="s">
        <v>1157</v>
      </c>
      <c r="C556" s="3" t="s">
        <v>19</v>
      </c>
      <c r="D556" s="4">
        <v>45037</v>
      </c>
      <c r="E556" s="4">
        <v>46163</v>
      </c>
      <c r="F556" s="3">
        <v>100000</v>
      </c>
      <c r="G556" s="3" t="s">
        <v>20</v>
      </c>
      <c r="H556" s="3">
        <v>100520.1</v>
      </c>
      <c r="I556" s="3" t="s">
        <v>20</v>
      </c>
      <c r="J556" s="3">
        <v>100.5201</v>
      </c>
      <c r="K556" s="3">
        <v>5</v>
      </c>
      <c r="L556" s="5">
        <v>8.1000000000000003E-2</v>
      </c>
      <c r="M556" s="3" t="s">
        <v>21</v>
      </c>
      <c r="N556" s="3">
        <v>246</v>
      </c>
      <c r="O556" s="6">
        <f>Table1[[#This Row],[Current coupon %]]*Table1[[#This Row],[Face value]]/Table1[[#This Row],[Ask Price]]</f>
        <v>8.0580898745624005E-2</v>
      </c>
      <c r="P556" s="3"/>
      <c r="Q556" s="3" t="s">
        <v>22</v>
      </c>
      <c r="R556">
        <f t="shared" si="8"/>
        <v>3</v>
      </c>
      <c r="S556" s="22" cm="1">
        <f t="array" ref="S556">_xlfn.IFS(Table1[[#This Row],[Coupon frequency]]="Semi-annual",2,Table1[[#This Row],[Coupon frequency]]="Quarterly",4,Table1[[#This Row],[Coupon frequency]]="Annual",1,Table1[[#This Row],[Coupon frequency]]="Every 4 months",3,Table1[[#This Row],[Coupon frequency]]="Monthly",12)</f>
        <v>1</v>
      </c>
      <c r="T556">
        <f>Table1[[#This Row],[Term to Maturity (Years)]]*Table1[[#This Row],[Coupon Frequency2]]</f>
        <v>3</v>
      </c>
      <c r="U556">
        <f>Table1[[#This Row],[Face value]]*Table1[[#This Row],[Current coupon %]]/Table1[[#This Row],[Coupon Frequency2]]</f>
        <v>8100</v>
      </c>
      <c r="V556" s="23">
        <f>RATE(Table1[[#This Row],[Total No. of Coupons]],Table1[[#This Row],[Coupon Amount]],-Table1[[#This Row],[Ask Price]],Table1[[#This Row],[Face value]])</f>
        <v>7.8985530884390032E-2</v>
      </c>
      <c r="W556" s="24">
        <f>Table1[[#This Row],[IRR]]*Table1[[#This Row],[Coupon Frequency2]]</f>
        <v>7.8985530884390032E-2</v>
      </c>
      <c r="X556" s="25" cm="1">
        <f t="array" ref="X5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6" s="26">
        <f>DURATION(Table1[[#This Row],[Issue date]],Table1[[#This Row],[Maturity date]],Table1[[#This Row],[Current coupon %]],Table1[[#This Row],[Yield (Annualised)]],Table1[[#This Row],[Coupon Frequency2]])</f>
        <v>2.6573384014390453</v>
      </c>
      <c r="Z556" s="26">
        <f>Table1[[#This Row],[Macaulay Duration in Years]]/(1+Table1[[#This Row],[IRR]])</f>
        <v>2.4628118963383678</v>
      </c>
      <c r="AA556" s="27">
        <f>VLOOKUP(Table1[[#This Row],[Yield Cluster]],'[1]Cluster Details'!$B$3:$C$16,2,0)</f>
        <v>7.8548801574189142E-2</v>
      </c>
      <c r="AB556" s="28">
        <f>PRICE(Table1[[#This Row],[Issue date]],Table1[[#This Row],[Maturity date]],Table1[[#This Row],[Current coupon %]],Table1[[#This Row],[Average Cluster Yield]],100,Table1[[#This Row],[Coupon Frequency2]])*Table1[[#This Row],[Face value]]/100</f>
        <v>100625.34055409812</v>
      </c>
      <c r="AC556" s="27" t="str">
        <f>IF(Table1[[#This Row],[Ask Price]]&gt;Table1[[#This Row],[Calculated Bond Price]],"Rich","Cheap")</f>
        <v>Cheap</v>
      </c>
      <c r="AD556" s="28">
        <f>PRICE(Table1[[#This Row],[Issue date]],Table1[[#This Row],[Maturity date]],Table1[[#This Row],[Current coupon %]],Table1[[#This Row],[Yield (Annualised)]]+$AE$2,100,Table1[[#This Row],[Coupon Frequency2]])*Table1[[#This Row],[Face value]]/100</f>
        <v>97899.092983264796</v>
      </c>
      <c r="AE556" s="28">
        <f>PRICE(Table1[[#This Row],[Issue date]],Table1[[#This Row],[Maturity date]],Table1[[#This Row],[Current coupon %]],Table1[[#This Row],[Yield (Annualised)]]-$AE$2,100,Table1[[#This Row],[Coupon Frequency2]])*Table1[[#This Row],[Face value]]/100</f>
        <v>103217.03824080386</v>
      </c>
      <c r="AF556" s="28">
        <f>(Table1[[#This Row],[P (+ shock)]]+Table1[[#This Row],[P (-shock)]]-2*Table1[[#This Row],[Ask Price]])/(2*Table1[[#This Row],[Ask Price]]*($AE$2^2))</f>
        <v>3.7769174557440133</v>
      </c>
    </row>
    <row r="557" spans="1:32" x14ac:dyDescent="0.25">
      <c r="A557" s="21" t="s">
        <v>1158</v>
      </c>
      <c r="B557" s="3" t="s">
        <v>1159</v>
      </c>
      <c r="C557" s="3" t="s">
        <v>19</v>
      </c>
      <c r="D557" s="4">
        <v>44012</v>
      </c>
      <c r="E557" s="4">
        <v>47662</v>
      </c>
      <c r="F557" s="3">
        <v>1000000</v>
      </c>
      <c r="G557" s="3" t="s">
        <v>20</v>
      </c>
      <c r="H557" s="3">
        <v>1006796</v>
      </c>
      <c r="I557" s="3" t="s">
        <v>20</v>
      </c>
      <c r="J557" s="3">
        <v>100.67959999999999</v>
      </c>
      <c r="K557" s="3">
        <v>1</v>
      </c>
      <c r="L557" s="5">
        <v>8.1000000000000003E-2</v>
      </c>
      <c r="M557" s="3" t="s">
        <v>21</v>
      </c>
      <c r="N557" s="3">
        <v>1745</v>
      </c>
      <c r="O557" s="6">
        <f>Table1[[#This Row],[Current coupon %]]*Table1[[#This Row],[Face value]]/Table1[[#This Row],[Ask Price]]</f>
        <v>8.0453239782438554E-2</v>
      </c>
      <c r="P557" s="3"/>
      <c r="Q557" s="3" t="s">
        <v>22</v>
      </c>
      <c r="R557">
        <f t="shared" si="8"/>
        <v>10</v>
      </c>
      <c r="S557" s="22" cm="1">
        <f t="array" ref="S557">_xlfn.IFS(Table1[[#This Row],[Coupon frequency]]="Semi-annual",2,Table1[[#This Row],[Coupon frequency]]="Quarterly",4,Table1[[#This Row],[Coupon frequency]]="Annual",1,Table1[[#This Row],[Coupon frequency]]="Every 4 months",3,Table1[[#This Row],[Coupon frequency]]="Monthly",12)</f>
        <v>1</v>
      </c>
      <c r="T557">
        <f>Table1[[#This Row],[Term to Maturity (Years)]]*Table1[[#This Row],[Coupon Frequency2]]</f>
        <v>10</v>
      </c>
      <c r="U557">
        <f>Table1[[#This Row],[Face value]]*Table1[[#This Row],[Current coupon %]]/Table1[[#This Row],[Coupon Frequency2]]</f>
        <v>81000</v>
      </c>
      <c r="V557" s="23">
        <f>RATE(Table1[[#This Row],[Total No. of Coupons]],Table1[[#This Row],[Coupon Amount]],-Table1[[#This Row],[Ask Price]],Table1[[#This Row],[Face value]])</f>
        <v>7.9987253821521845E-2</v>
      </c>
      <c r="W557" s="24">
        <f>Table1[[#This Row],[IRR]]*Table1[[#This Row],[Coupon Frequency2]]</f>
        <v>7.9987253821521845E-2</v>
      </c>
      <c r="X557" s="25" cm="1">
        <f t="array" ref="X5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7" s="26">
        <f>DURATION(Table1[[#This Row],[Issue date]],Table1[[#This Row],[Maturity date]],Table1[[#This Row],[Current coupon %]],Table1[[#This Row],[Yield (Annualised)]],Table1[[#This Row],[Coupon Frequency2]])</f>
        <v>7.2256264529875249</v>
      </c>
      <c r="Z557" s="26">
        <f>Table1[[#This Row],[Macaulay Duration in Years]]/(1+Table1[[#This Row],[IRR]])</f>
        <v>6.69047382496389</v>
      </c>
      <c r="AA557" s="27">
        <f>VLOOKUP(Table1[[#This Row],[Yield Cluster]],'[1]Cluster Details'!$B$3:$C$16,2,0)</f>
        <v>7.8548801574189142E-2</v>
      </c>
      <c r="AB557" s="28">
        <f>PRICE(Table1[[#This Row],[Issue date]],Table1[[#This Row],[Maturity date]],Table1[[#This Row],[Current coupon %]],Table1[[#This Row],[Average Cluster Yield]],100,Table1[[#This Row],[Coupon Frequency2]])*Table1[[#This Row],[Face value]]/100</f>
        <v>1016533.0831456151</v>
      </c>
      <c r="AC557" s="27" t="str">
        <f>IF(Table1[[#This Row],[Ask Price]]&gt;Table1[[#This Row],[Calculated Bond Price]],"Rich","Cheap")</f>
        <v>Cheap</v>
      </c>
      <c r="AD557" s="28">
        <f>PRICE(Table1[[#This Row],[Issue date]],Table1[[#This Row],[Maturity date]],Table1[[#This Row],[Current coupon %]],Table1[[#This Row],[Yield (Annualised)]]+$AE$2,100,Table1[[#This Row],[Coupon Frequency2]])*Table1[[#This Row],[Face value]]/100</f>
        <v>942320.84166230785</v>
      </c>
      <c r="AE557" s="28">
        <f>PRICE(Table1[[#This Row],[Issue date]],Table1[[#This Row],[Maturity date]],Table1[[#This Row],[Current coupon %]],Table1[[#This Row],[Yield (Annualised)]]-$AE$2,100,Table1[[#This Row],[Coupon Frequency2]])*Table1[[#This Row],[Face value]]/100</f>
        <v>1077308.4402175448</v>
      </c>
      <c r="AF557" s="28">
        <f>(Table1[[#This Row],[P (+ shock)]]+Table1[[#This Row],[P (-shock)]]-2*Table1[[#This Row],[Ask Price]])/(2*Table1[[#This Row],[Ask Price]]*($AE$2^2))</f>
        <v>29.982647328021393</v>
      </c>
    </row>
    <row r="558" spans="1:32" x14ac:dyDescent="0.25">
      <c r="A558" s="21" t="s">
        <v>1160</v>
      </c>
      <c r="B558" s="3" t="s">
        <v>1161</v>
      </c>
      <c r="C558" s="3" t="s">
        <v>19</v>
      </c>
      <c r="D558" s="4">
        <v>45287</v>
      </c>
      <c r="E558" s="4">
        <v>47114</v>
      </c>
      <c r="F558" s="3">
        <v>1000</v>
      </c>
      <c r="G558" s="3" t="s">
        <v>20</v>
      </c>
      <c r="H558" s="3">
        <v>1199.77</v>
      </c>
      <c r="I558" s="3" t="s">
        <v>20</v>
      </c>
      <c r="J558" s="3">
        <v>119.977</v>
      </c>
      <c r="K558" s="3">
        <v>10</v>
      </c>
      <c r="L558" s="5">
        <v>9.6500000000000002E-2</v>
      </c>
      <c r="M558" s="3" t="s">
        <v>44</v>
      </c>
      <c r="N558" s="3">
        <v>1197</v>
      </c>
      <c r="O558" s="6">
        <f>Table1[[#This Row],[Current coupon %]]*Table1[[#This Row],[Face value]]/Table1[[#This Row],[Ask Price]]</f>
        <v>8.0432082815873038E-2</v>
      </c>
      <c r="P558" s="3"/>
      <c r="Q558" s="3" t="s">
        <v>22</v>
      </c>
      <c r="R558">
        <f t="shared" si="8"/>
        <v>5</v>
      </c>
      <c r="S558" s="22" cm="1">
        <f t="array" ref="S558">_xlfn.IFS(Table1[[#This Row],[Coupon frequency]]="Semi-annual",2,Table1[[#This Row],[Coupon frequency]]="Quarterly",4,Table1[[#This Row],[Coupon frequency]]="Annual",1,Table1[[#This Row],[Coupon frequency]]="Every 4 months",3,Table1[[#This Row],[Coupon frequency]]="Monthly",12)</f>
        <v>4</v>
      </c>
      <c r="T558">
        <f>Table1[[#This Row],[Term to Maturity (Years)]]*Table1[[#This Row],[Coupon Frequency2]]</f>
        <v>20</v>
      </c>
      <c r="U558">
        <f>Table1[[#This Row],[Face value]]*Table1[[#This Row],[Current coupon %]]/Table1[[#This Row],[Coupon Frequency2]]</f>
        <v>24.125</v>
      </c>
      <c r="V558" s="23">
        <f>RATE(Table1[[#This Row],[Total No. of Coupons]],Table1[[#This Row],[Coupon Amount]],-Table1[[#This Row],[Ask Price]],Table1[[#This Row],[Face value]])</f>
        <v>1.2746136033682192E-2</v>
      </c>
      <c r="W558" s="24">
        <f>Table1[[#This Row],[IRR]]*Table1[[#This Row],[Coupon Frequency2]]</f>
        <v>5.098454413472877E-2</v>
      </c>
      <c r="X558" s="25" cm="1">
        <f t="array" ref="X5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8" s="26">
        <f>DURATION(Table1[[#This Row],[Issue date]],Table1[[#This Row],[Maturity date]],Table1[[#This Row],[Current coupon %]],Table1[[#This Row],[Yield (Annualised)]],Table1[[#This Row],[Coupon Frequency2]])</f>
        <v>4.1244476119177049</v>
      </c>
      <c r="Z558" s="26">
        <f>Table1[[#This Row],[Macaulay Duration in Years]]/(1+Table1[[#This Row],[IRR]])</f>
        <v>4.0725384824183939</v>
      </c>
      <c r="AA558" s="27">
        <f>VLOOKUP(Table1[[#This Row],[Yield Cluster]],'[1]Cluster Details'!$B$3:$C$16,2,0)</f>
        <v>7.8548801574189142E-2</v>
      </c>
      <c r="AB558" s="28">
        <f>PRICE(Table1[[#This Row],[Issue date]],Table1[[#This Row],[Maturity date]],Table1[[#This Row],[Current coupon %]],Table1[[#This Row],[Average Cluster Yield]],100,Table1[[#This Row],[Coupon Frequency2]])*Table1[[#This Row],[Face value]]/100</f>
        <v>1073.6395247847147</v>
      </c>
      <c r="AC558" s="27" t="str">
        <f>IF(Table1[[#This Row],[Ask Price]]&gt;Table1[[#This Row],[Calculated Bond Price]],"Rich","Cheap")</f>
        <v>Rich</v>
      </c>
      <c r="AD558" s="28">
        <f>PRICE(Table1[[#This Row],[Issue date]],Table1[[#This Row],[Maturity date]],Table1[[#This Row],[Current coupon %]],Table1[[#This Row],[Yield (Annualised)]]+$AE$2,100,Table1[[#This Row],[Coupon Frequency2]])*Table1[[#This Row],[Face value]]/100</f>
        <v>1152.0687791765974</v>
      </c>
      <c r="AE558" s="28">
        <f>PRICE(Table1[[#This Row],[Issue date]],Table1[[#This Row],[Maturity date]],Table1[[#This Row],[Current coupon %]],Table1[[#This Row],[Yield (Annualised)]]-$AE$2,100,Table1[[#This Row],[Coupon Frequency2]])*Table1[[#This Row],[Face value]]/100</f>
        <v>1249.8321787717359</v>
      </c>
      <c r="AF558" s="28">
        <f>(Table1[[#This Row],[P (+ shock)]]+Table1[[#This Row],[P (-shock)]]-2*Table1[[#This Row],[Ask Price]])/(2*Table1[[#This Row],[Ask Price]]*($AE$2^2))</f>
        <v>9.8392106334282179</v>
      </c>
    </row>
    <row r="559" spans="1:32" x14ac:dyDescent="0.25">
      <c r="A559" s="21" t="s">
        <v>1162</v>
      </c>
      <c r="B559" s="3" t="s">
        <v>1163</v>
      </c>
      <c r="C559" s="3" t="s">
        <v>19</v>
      </c>
      <c r="D559" s="4">
        <v>45316</v>
      </c>
      <c r="E559" s="4">
        <v>46412</v>
      </c>
      <c r="F559" s="3">
        <v>1000</v>
      </c>
      <c r="G559" s="3" t="s">
        <v>20</v>
      </c>
      <c r="H559" s="3">
        <v>1056.8</v>
      </c>
      <c r="I559" s="3" t="s">
        <v>20</v>
      </c>
      <c r="J559" s="3">
        <v>105.679999999999</v>
      </c>
      <c r="K559" s="3">
        <v>20000</v>
      </c>
      <c r="L559" s="5">
        <v>8.5000000000000006E-2</v>
      </c>
      <c r="M559" s="3" t="s">
        <v>21</v>
      </c>
      <c r="N559" s="3">
        <v>495</v>
      </c>
      <c r="O559" s="6">
        <f>Table1[[#This Row],[Current coupon %]]*Table1[[#This Row],[Face value]]/Table1[[#This Row],[Ask Price]]</f>
        <v>8.0431491294473884E-2</v>
      </c>
      <c r="P559" s="3" t="s">
        <v>97</v>
      </c>
      <c r="Q559" s="3" t="s">
        <v>22</v>
      </c>
      <c r="R559">
        <f t="shared" si="8"/>
        <v>3</v>
      </c>
      <c r="S559" s="22" cm="1">
        <f t="array" ref="S559">_xlfn.IFS(Table1[[#This Row],[Coupon frequency]]="Semi-annual",2,Table1[[#This Row],[Coupon frequency]]="Quarterly",4,Table1[[#This Row],[Coupon frequency]]="Annual",1,Table1[[#This Row],[Coupon frequency]]="Every 4 months",3,Table1[[#This Row],[Coupon frequency]]="Monthly",12)</f>
        <v>1</v>
      </c>
      <c r="T559">
        <f>Table1[[#This Row],[Term to Maturity (Years)]]*Table1[[#This Row],[Coupon Frequency2]]</f>
        <v>3</v>
      </c>
      <c r="U559">
        <f>Table1[[#This Row],[Face value]]*Table1[[#This Row],[Current coupon %]]/Table1[[#This Row],[Coupon Frequency2]]</f>
        <v>85</v>
      </c>
      <c r="V559" s="23">
        <f>RATE(Table1[[#This Row],[Total No. of Coupons]],Table1[[#This Row],[Coupon Amount]],-Table1[[#This Row],[Ask Price]],Table1[[#This Row],[Face value]])</f>
        <v>6.3608542928547215E-2</v>
      </c>
      <c r="W559" s="24">
        <f>Table1[[#This Row],[IRR]]*Table1[[#This Row],[Coupon Frequency2]]</f>
        <v>6.3608542928547215E-2</v>
      </c>
      <c r="X559" s="25" cm="1">
        <f t="array" ref="X5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59" s="26">
        <f>DURATION(Table1[[#This Row],[Issue date]],Table1[[#This Row],[Maturity date]],Table1[[#This Row],[Current coupon %]],Table1[[#This Row],[Yield (Annualised)]],Table1[[#This Row],[Coupon Frequency2]])</f>
        <v>2.7776585070505937</v>
      </c>
      <c r="Z559" s="26">
        <f>Table1[[#This Row],[Macaulay Duration in Years]]/(1+Table1[[#This Row],[IRR]])</f>
        <v>2.6115421181204219</v>
      </c>
      <c r="AA559" s="27">
        <f>VLOOKUP(Table1[[#This Row],[Yield Cluster]],'[1]Cluster Details'!$B$3:$C$16,2,0)</f>
        <v>7.8548801574189142E-2</v>
      </c>
      <c r="AB559" s="28">
        <f>PRICE(Table1[[#This Row],[Issue date]],Table1[[#This Row],[Maturity date]],Table1[[#This Row],[Current coupon %]],Table1[[#This Row],[Average Cluster Yield]],100,Table1[[#This Row],[Coupon Frequency2]])*Table1[[#This Row],[Face value]]/100</f>
        <v>1016.668994467577</v>
      </c>
      <c r="AC559" s="27" t="str">
        <f>IF(Table1[[#This Row],[Ask Price]]&gt;Table1[[#This Row],[Calculated Bond Price]],"Rich","Cheap")</f>
        <v>Rich</v>
      </c>
      <c r="AD559" s="28">
        <f>PRICE(Table1[[#This Row],[Issue date]],Table1[[#This Row],[Maturity date]],Table1[[#This Row],[Current coupon %]],Table1[[#This Row],[Yield (Annualised)]]+$AE$2,100,Table1[[#This Row],[Coupon Frequency2]])*Table1[[#This Row],[Face value]]/100</f>
        <v>1029.6987787678504</v>
      </c>
      <c r="AE559" s="28">
        <f>PRICE(Table1[[#This Row],[Issue date]],Table1[[#This Row],[Maturity date]],Table1[[#This Row],[Current coupon %]],Table1[[#This Row],[Yield (Annualised)]]-$AE$2,100,Table1[[#This Row],[Coupon Frequency2]])*Table1[[#This Row],[Face value]]/100</f>
        <v>1084.9119571166</v>
      </c>
      <c r="AF559" s="28">
        <f>(Table1[[#This Row],[P (+ shock)]]+Table1[[#This Row],[P (-shock)]]-2*Table1[[#This Row],[Ask Price]])/(2*Table1[[#This Row],[Ask Price]]*($AE$2^2))</f>
        <v>4.7820584994807032</v>
      </c>
    </row>
    <row r="560" spans="1:32" x14ac:dyDescent="0.25">
      <c r="A560" s="21" t="s">
        <v>1164</v>
      </c>
      <c r="B560" s="3" t="s">
        <v>1165</v>
      </c>
      <c r="C560" s="3" t="s">
        <v>19</v>
      </c>
      <c r="D560" s="4">
        <v>45048</v>
      </c>
      <c r="E560" s="4">
        <v>46875</v>
      </c>
      <c r="F560" s="3">
        <v>100000</v>
      </c>
      <c r="G560" s="3" t="s">
        <v>20</v>
      </c>
      <c r="H560" s="3">
        <v>99597.97</v>
      </c>
      <c r="I560" s="3" t="s">
        <v>20</v>
      </c>
      <c r="J560" s="3">
        <v>99.597970000000004</v>
      </c>
      <c r="K560" s="3">
        <v>5</v>
      </c>
      <c r="L560" s="5">
        <v>8.0100000000000005E-2</v>
      </c>
      <c r="M560" s="3" t="s">
        <v>21</v>
      </c>
      <c r="N560" s="3">
        <v>958</v>
      </c>
      <c r="O560" s="6">
        <f>Table1[[#This Row],[Current coupon %]]*Table1[[#This Row],[Face value]]/Table1[[#This Row],[Ask Price]]</f>
        <v>8.0423325897104131E-2</v>
      </c>
      <c r="P560" s="3"/>
      <c r="Q560" s="3" t="s">
        <v>22</v>
      </c>
      <c r="R560">
        <f t="shared" si="8"/>
        <v>5</v>
      </c>
      <c r="S560" s="22" cm="1">
        <f t="array" ref="S560">_xlfn.IFS(Table1[[#This Row],[Coupon frequency]]="Semi-annual",2,Table1[[#This Row],[Coupon frequency]]="Quarterly",4,Table1[[#This Row],[Coupon frequency]]="Annual",1,Table1[[#This Row],[Coupon frequency]]="Every 4 months",3,Table1[[#This Row],[Coupon frequency]]="Monthly",12)</f>
        <v>1</v>
      </c>
      <c r="T560">
        <f>Table1[[#This Row],[Term to Maturity (Years)]]*Table1[[#This Row],[Coupon Frequency2]]</f>
        <v>5</v>
      </c>
      <c r="U560">
        <f>Table1[[#This Row],[Face value]]*Table1[[#This Row],[Current coupon %]]/Table1[[#This Row],[Coupon Frequency2]]</f>
        <v>8010</v>
      </c>
      <c r="V560" s="23">
        <f>RATE(Table1[[#This Row],[Total No. of Coupons]],Table1[[#This Row],[Coupon Amount]],-Table1[[#This Row],[Ask Price]],Table1[[#This Row],[Face value]])</f>
        <v>8.1109857199421001E-2</v>
      </c>
      <c r="W560" s="24">
        <f>Table1[[#This Row],[IRR]]*Table1[[#This Row],[Coupon Frequency2]]</f>
        <v>8.1109857199421001E-2</v>
      </c>
      <c r="X560" s="25" cm="1">
        <f t="array" ref="X5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0" s="26">
        <f>DURATION(Table1[[#This Row],[Issue date]],Table1[[#This Row],[Maturity date]],Table1[[#This Row],[Current coupon %]],Table1[[#This Row],[Yield (Annualised)]],Table1[[#This Row],[Coupon Frequency2]])</f>
        <v>4.3098523818234424</v>
      </c>
      <c r="Z560" s="26">
        <f>Table1[[#This Row],[Macaulay Duration in Years]]/(1+Table1[[#This Row],[IRR]])</f>
        <v>3.9865073406952098</v>
      </c>
      <c r="AA560" s="27">
        <f>VLOOKUP(Table1[[#This Row],[Yield Cluster]],'[1]Cluster Details'!$B$3:$C$16,2,0)</f>
        <v>7.8548801574189142E-2</v>
      </c>
      <c r="AB560" s="28">
        <f>PRICE(Table1[[#This Row],[Issue date]],Table1[[#This Row],[Maturity date]],Table1[[#This Row],[Current coupon %]],Table1[[#This Row],[Average Cluster Yield]],100,Table1[[#This Row],[Coupon Frequency2]])*Table1[[#This Row],[Face value]]/100</f>
        <v>100621.72469381231</v>
      </c>
      <c r="AC560" s="27" t="str">
        <f>IF(Table1[[#This Row],[Ask Price]]&gt;Table1[[#This Row],[Calculated Bond Price]],"Rich","Cheap")</f>
        <v>Cheap</v>
      </c>
      <c r="AD560" s="28">
        <f>PRICE(Table1[[#This Row],[Issue date]],Table1[[#This Row],[Maturity date]],Table1[[#This Row],[Current coupon %]],Table1[[#This Row],[Yield (Annualised)]]+$AE$2,100,Table1[[#This Row],[Coupon Frequency2]])*Table1[[#This Row],[Face value]]/100</f>
        <v>95729.853385349998</v>
      </c>
      <c r="AE560" s="28">
        <f>PRICE(Table1[[#This Row],[Issue date]],Table1[[#This Row],[Maturity date]],Table1[[#This Row],[Current coupon %]],Table1[[#This Row],[Yield (Annualised)]]-$AE$2,100,Table1[[#This Row],[Coupon Frequency2]])*Table1[[#This Row],[Face value]]/100</f>
        <v>103675.20791606966</v>
      </c>
      <c r="AF560" s="28">
        <f>(Table1[[#This Row],[P (+ shock)]]+Table1[[#This Row],[P (-shock)]]-2*Table1[[#This Row],[Ask Price]])/(2*Table1[[#This Row],[Ask Price]]*($AE$2^2))</f>
        <v>10.498271270973426</v>
      </c>
    </row>
    <row r="561" spans="1:32" x14ac:dyDescent="0.25">
      <c r="A561" s="21" t="s">
        <v>1166</v>
      </c>
      <c r="B561" s="3" t="s">
        <v>1167</v>
      </c>
      <c r="C561" s="3" t="s">
        <v>19</v>
      </c>
      <c r="D561" s="4">
        <v>42642</v>
      </c>
      <c r="E561" s="4">
        <v>46294</v>
      </c>
      <c r="F561" s="3">
        <v>1000000</v>
      </c>
      <c r="G561" s="3" t="s">
        <v>20</v>
      </c>
      <c r="H561" s="3">
        <v>1053021.8999999999</v>
      </c>
      <c r="I561" s="3" t="s">
        <v>20</v>
      </c>
      <c r="J561" s="3">
        <v>105.302189999999</v>
      </c>
      <c r="K561" s="3">
        <v>10</v>
      </c>
      <c r="L561" s="5">
        <v>8.4499999999999992E-2</v>
      </c>
      <c r="M561" s="3" t="s">
        <v>21</v>
      </c>
      <c r="N561" s="3">
        <v>377</v>
      </c>
      <c r="O561" s="6">
        <f>Table1[[#This Row],[Current coupon %]]*Table1[[#This Row],[Face value]]/Table1[[#This Row],[Ask Price]]</f>
        <v>8.0245244662053086E-2</v>
      </c>
      <c r="P561" s="3" t="s">
        <v>297</v>
      </c>
      <c r="Q561" s="3" t="s">
        <v>22</v>
      </c>
      <c r="R561">
        <f t="shared" si="8"/>
        <v>10</v>
      </c>
      <c r="S561" s="22" cm="1">
        <f t="array" ref="S561">_xlfn.IFS(Table1[[#This Row],[Coupon frequency]]="Semi-annual",2,Table1[[#This Row],[Coupon frequency]]="Quarterly",4,Table1[[#This Row],[Coupon frequency]]="Annual",1,Table1[[#This Row],[Coupon frequency]]="Every 4 months",3,Table1[[#This Row],[Coupon frequency]]="Monthly",12)</f>
        <v>1</v>
      </c>
      <c r="T561">
        <f>Table1[[#This Row],[Term to Maturity (Years)]]*Table1[[#This Row],[Coupon Frequency2]]</f>
        <v>10</v>
      </c>
      <c r="U561">
        <f>Table1[[#This Row],[Face value]]*Table1[[#This Row],[Current coupon %]]/Table1[[#This Row],[Coupon Frequency2]]</f>
        <v>84499.999999999985</v>
      </c>
      <c r="V561" s="23">
        <f>RATE(Table1[[#This Row],[Total No. of Coupons]],Table1[[#This Row],[Coupon Amount]],-Table1[[#This Row],[Ask Price]],Table1[[#This Row],[Face value]])</f>
        <v>7.6714861157282793E-2</v>
      </c>
      <c r="W561" s="24">
        <f>Table1[[#This Row],[IRR]]*Table1[[#This Row],[Coupon Frequency2]]</f>
        <v>7.6714861157282793E-2</v>
      </c>
      <c r="X561" s="25" cm="1">
        <f t="array" ref="X5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1" s="26">
        <f>DURATION(Table1[[#This Row],[Issue date]],Table1[[#This Row],[Maturity date]],Table1[[#This Row],[Current coupon %]],Table1[[#This Row],[Yield (Annualised)]],Table1[[#This Row],[Coupon Frequency2]])</f>
        <v>7.2104062047352908</v>
      </c>
      <c r="Z561" s="26">
        <f>Table1[[#This Row],[Macaulay Duration in Years]]/(1+Table1[[#This Row],[IRR]])</f>
        <v>6.6966719461690607</v>
      </c>
      <c r="AA561" s="27">
        <f>VLOOKUP(Table1[[#This Row],[Yield Cluster]],'[1]Cluster Details'!$B$3:$C$16,2,0)</f>
        <v>7.8548801574189142E-2</v>
      </c>
      <c r="AB561" s="28">
        <f>PRICE(Table1[[#This Row],[Issue date]],Table1[[#This Row],[Maturity date]],Table1[[#This Row],[Current coupon %]],Table1[[#This Row],[Average Cluster Yield]],100,Table1[[#This Row],[Coupon Frequency2]])*Table1[[#This Row],[Face value]]/100</f>
        <v>1040195.7366582107</v>
      </c>
      <c r="AC561" s="27" t="str">
        <f>IF(Table1[[#This Row],[Ask Price]]&gt;Table1[[#This Row],[Calculated Bond Price]],"Rich","Cheap")</f>
        <v>Rich</v>
      </c>
      <c r="AD561" s="28">
        <f>PRICE(Table1[[#This Row],[Issue date]],Table1[[#This Row],[Maturity date]],Table1[[#This Row],[Current coupon %]],Table1[[#This Row],[Yield (Annualised)]]+$AE$2,100,Table1[[#This Row],[Coupon Frequency2]])*Table1[[#This Row],[Face value]]/100</f>
        <v>985577.91166838829</v>
      </c>
      <c r="AE561" s="28">
        <f>PRICE(Table1[[#This Row],[Issue date]],Table1[[#This Row],[Maturity date]],Table1[[#This Row],[Current coupon %]],Table1[[#This Row],[Yield (Annualised)]]-$AE$2,100,Table1[[#This Row],[Coupon Frequency2]])*Table1[[#This Row],[Face value]]/100</f>
        <v>1126834.5569654296</v>
      </c>
      <c r="AF561" s="28">
        <f>(Table1[[#This Row],[P (+ shock)]]+Table1[[#This Row],[P (-shock)]]-2*Table1[[#This Row],[Ask Price]])/(2*Table1[[#This Row],[Ask Price]]*($AE$2^2))</f>
        <v>30.2399628812001</v>
      </c>
    </row>
    <row r="562" spans="1:32" x14ac:dyDescent="0.25">
      <c r="A562" s="21" t="s">
        <v>1168</v>
      </c>
      <c r="B562" s="3" t="s">
        <v>1169</v>
      </c>
      <c r="C562" s="3" t="s">
        <v>19</v>
      </c>
      <c r="D562" s="4">
        <v>43992</v>
      </c>
      <c r="E562" s="4">
        <v>47644</v>
      </c>
      <c r="F562" s="3">
        <v>500000</v>
      </c>
      <c r="G562" s="3" t="s">
        <v>20</v>
      </c>
      <c r="H562" s="3">
        <v>500000</v>
      </c>
      <c r="I562" s="3" t="s">
        <v>20</v>
      </c>
      <c r="J562" s="3">
        <v>100</v>
      </c>
      <c r="K562" s="3">
        <v>2</v>
      </c>
      <c r="L562" s="5">
        <v>8.0199999999999994E-2</v>
      </c>
      <c r="M562" s="3" t="s">
        <v>21</v>
      </c>
      <c r="N562" s="3">
        <v>1727</v>
      </c>
      <c r="O562" s="6">
        <f>Table1[[#This Row],[Current coupon %]]*Table1[[#This Row],[Face value]]/Table1[[#This Row],[Ask Price]]</f>
        <v>8.0199999999999994E-2</v>
      </c>
      <c r="P562" s="3"/>
      <c r="Q562" s="3" t="s">
        <v>22</v>
      </c>
      <c r="R562">
        <f t="shared" si="8"/>
        <v>10</v>
      </c>
      <c r="S562" s="22" cm="1">
        <f t="array" ref="S562">_xlfn.IFS(Table1[[#This Row],[Coupon frequency]]="Semi-annual",2,Table1[[#This Row],[Coupon frequency]]="Quarterly",4,Table1[[#This Row],[Coupon frequency]]="Annual",1,Table1[[#This Row],[Coupon frequency]]="Every 4 months",3,Table1[[#This Row],[Coupon frequency]]="Monthly",12)</f>
        <v>1</v>
      </c>
      <c r="T562">
        <f>Table1[[#This Row],[Term to Maturity (Years)]]*Table1[[#This Row],[Coupon Frequency2]]</f>
        <v>10</v>
      </c>
      <c r="U562">
        <f>Table1[[#This Row],[Face value]]*Table1[[#This Row],[Current coupon %]]/Table1[[#This Row],[Coupon Frequency2]]</f>
        <v>40100</v>
      </c>
      <c r="V562" s="23">
        <f>RATE(Table1[[#This Row],[Total No. of Coupons]],Table1[[#This Row],[Coupon Amount]],-Table1[[#This Row],[Ask Price]],Table1[[#This Row],[Face value]])</f>
        <v>8.0200000000007959E-2</v>
      </c>
      <c r="W562" s="24">
        <f>Table1[[#This Row],[IRR]]*Table1[[#This Row],[Coupon Frequency2]]</f>
        <v>8.0200000000007959E-2</v>
      </c>
      <c r="X562" s="25" cm="1">
        <f t="array" ref="X5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2" s="26">
        <f>DURATION(Table1[[#This Row],[Issue date]],Table1[[#This Row],[Maturity date]],Table1[[#This Row],[Current coupon %]],Table1[[#This Row],[Yield (Annualised)]],Table1[[#This Row],[Coupon Frequency2]])</f>
        <v>7.2416958813196883</v>
      </c>
      <c r="Z562" s="26">
        <f>Table1[[#This Row],[Macaulay Duration in Years]]/(1+Table1[[#This Row],[IRR]])</f>
        <v>6.7040324766891635</v>
      </c>
      <c r="AA562" s="27">
        <f>VLOOKUP(Table1[[#This Row],[Yield Cluster]],'[1]Cluster Details'!$B$3:$C$16,2,0)</f>
        <v>7.8548801574189142E-2</v>
      </c>
      <c r="AB562" s="28">
        <f>PRICE(Table1[[#This Row],[Issue date]],Table1[[#This Row],[Maturity date]],Table1[[#This Row],[Current coupon %]],Table1[[#This Row],[Average Cluster Yield]],100,Table1[[#This Row],[Coupon Frequency2]])*Table1[[#This Row],[Face value]]/100</f>
        <v>505576.2833252619</v>
      </c>
      <c r="AC562" s="27" t="str">
        <f>IF(Table1[[#This Row],[Ask Price]]&gt;Table1[[#This Row],[Calculated Bond Price]],"Rich","Cheap")</f>
        <v>Cheap</v>
      </c>
      <c r="AD562" s="28">
        <f>PRICE(Table1[[#This Row],[Issue date]],Table1[[#This Row],[Maturity date]],Table1[[#This Row],[Current coupon %]],Table1[[#This Row],[Yield (Annualised)]]+$AE$2,100,Table1[[#This Row],[Coupon Frequency2]])*Table1[[#This Row],[Face value]]/100</f>
        <v>467939.94028809213</v>
      </c>
      <c r="AE562" s="28">
        <f>PRICE(Table1[[#This Row],[Issue date]],Table1[[#This Row],[Maturity date]],Table1[[#This Row],[Current coupon %]],Table1[[#This Row],[Yield (Annualised)]]-$AE$2,100,Table1[[#This Row],[Coupon Frequency2]])*Table1[[#This Row],[Face value]]/100</f>
        <v>535085.46419951762</v>
      </c>
      <c r="AF562" s="28">
        <f>(Table1[[#This Row],[P (+ shock)]]+Table1[[#This Row],[P (-shock)]]-2*Table1[[#This Row],[Ask Price]])/(2*Table1[[#This Row],[Ask Price]]*($AE$2^2))</f>
        <v>30.254044876097467</v>
      </c>
    </row>
    <row r="563" spans="1:32" x14ac:dyDescent="0.25">
      <c r="A563" s="21" t="s">
        <v>1170</v>
      </c>
      <c r="B563" s="3" t="s">
        <v>1171</v>
      </c>
      <c r="C563" s="3" t="s">
        <v>19</v>
      </c>
      <c r="D563" s="4">
        <v>43822</v>
      </c>
      <c r="E563" s="4">
        <v>46379</v>
      </c>
      <c r="F563" s="3">
        <v>1000</v>
      </c>
      <c r="G563" s="3" t="s">
        <v>20</v>
      </c>
      <c r="H563" s="3">
        <v>1060</v>
      </c>
      <c r="I563" s="3" t="s">
        <v>20</v>
      </c>
      <c r="J563" s="3">
        <v>106</v>
      </c>
      <c r="K563" s="3">
        <v>150</v>
      </c>
      <c r="L563" s="5">
        <v>8.5000000000000006E-2</v>
      </c>
      <c r="M563" s="3" t="s">
        <v>21</v>
      </c>
      <c r="N563" s="3">
        <v>462</v>
      </c>
      <c r="O563" s="6">
        <f>Table1[[#This Row],[Current coupon %]]*Table1[[#This Row],[Face value]]/Table1[[#This Row],[Ask Price]]</f>
        <v>8.0188679245283015E-2</v>
      </c>
      <c r="P563" s="3"/>
      <c r="Q563" s="3" t="s">
        <v>22</v>
      </c>
      <c r="R563">
        <f t="shared" si="8"/>
        <v>7</v>
      </c>
      <c r="S563" s="22" cm="1">
        <f t="array" ref="S563">_xlfn.IFS(Table1[[#This Row],[Coupon frequency]]="Semi-annual",2,Table1[[#This Row],[Coupon frequency]]="Quarterly",4,Table1[[#This Row],[Coupon frequency]]="Annual",1,Table1[[#This Row],[Coupon frequency]]="Every 4 months",3,Table1[[#This Row],[Coupon frequency]]="Monthly",12)</f>
        <v>1</v>
      </c>
      <c r="T563">
        <f>Table1[[#This Row],[Term to Maturity (Years)]]*Table1[[#This Row],[Coupon Frequency2]]</f>
        <v>7</v>
      </c>
      <c r="U563">
        <f>Table1[[#This Row],[Face value]]*Table1[[#This Row],[Current coupon %]]/Table1[[#This Row],[Coupon Frequency2]]</f>
        <v>85</v>
      </c>
      <c r="V563" s="23">
        <f>RATE(Table1[[#This Row],[Total No. of Coupons]],Table1[[#This Row],[Coupon Amount]],-Table1[[#This Row],[Ask Price]],Table1[[#This Row],[Face value]])</f>
        <v>7.3721924732322738E-2</v>
      </c>
      <c r="W563" s="24">
        <f>Table1[[#This Row],[IRR]]*Table1[[#This Row],[Coupon Frequency2]]</f>
        <v>7.3721924732322738E-2</v>
      </c>
      <c r="X563" s="25" cm="1">
        <f t="array" ref="X5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3" s="26">
        <f>DURATION(Table1[[#This Row],[Issue date]],Table1[[#This Row],[Maturity date]],Table1[[#This Row],[Current coupon %]],Table1[[#This Row],[Yield (Annualised)]],Table1[[#This Row],[Coupon Frequency2]])</f>
        <v>5.5993034297725961</v>
      </c>
      <c r="Z563" s="26">
        <f>Table1[[#This Row],[Macaulay Duration in Years]]/(1+Table1[[#This Row],[IRR]])</f>
        <v>5.2148543312724982</v>
      </c>
      <c r="AA563" s="27">
        <f>VLOOKUP(Table1[[#This Row],[Yield Cluster]],'[1]Cluster Details'!$B$3:$C$16,2,0)</f>
        <v>7.8548801574189142E-2</v>
      </c>
      <c r="AB563" s="28">
        <f>PRICE(Table1[[#This Row],[Issue date]],Table1[[#This Row],[Maturity date]],Table1[[#This Row],[Current coupon %]],Table1[[#This Row],[Average Cluster Yield]],100,Table1[[#This Row],[Coupon Frequency2]])*Table1[[#This Row],[Face value]]/100</f>
        <v>1033.7546737822404</v>
      </c>
      <c r="AC563" s="27" t="str">
        <f>IF(Table1[[#This Row],[Ask Price]]&gt;Table1[[#This Row],[Calculated Bond Price]],"Rich","Cheap")</f>
        <v>Rich</v>
      </c>
      <c r="AD563" s="28">
        <f>PRICE(Table1[[#This Row],[Issue date]],Table1[[#This Row],[Maturity date]],Table1[[#This Row],[Current coupon %]],Table1[[#This Row],[Yield (Annualised)]]+$AE$2,100,Table1[[#This Row],[Coupon Frequency2]])*Table1[[#This Row],[Face value]]/100</f>
        <v>1006.5702647490568</v>
      </c>
      <c r="AE563" s="28">
        <f>PRICE(Table1[[#This Row],[Issue date]],Table1[[#This Row],[Maturity date]],Table1[[#This Row],[Current coupon %]],Table1[[#This Row],[Yield (Annualised)]]-$AE$2,100,Table1[[#This Row],[Coupon Frequency2]])*Table1[[#This Row],[Face value]]/100</f>
        <v>1117.2268899335679</v>
      </c>
      <c r="AF563" s="28">
        <f>(Table1[[#This Row],[P (+ shock)]]+Table1[[#This Row],[P (-shock)]]-2*Table1[[#This Row],[Ask Price]])/(2*Table1[[#This Row],[Ask Price]]*($AE$2^2))</f>
        <v>17.911106993512973</v>
      </c>
    </row>
    <row r="564" spans="1:32" x14ac:dyDescent="0.25">
      <c r="A564" s="21" t="s">
        <v>1172</v>
      </c>
      <c r="B564" s="3" t="s">
        <v>1173</v>
      </c>
      <c r="C564" s="3" t="s">
        <v>19</v>
      </c>
      <c r="D564" s="4">
        <v>45049</v>
      </c>
      <c r="E564" s="4">
        <v>46907</v>
      </c>
      <c r="F564" s="3">
        <v>1000</v>
      </c>
      <c r="G564" s="3" t="s">
        <v>20</v>
      </c>
      <c r="H564" s="3">
        <v>1016</v>
      </c>
      <c r="I564" s="3" t="s">
        <v>20</v>
      </c>
      <c r="J564" s="3">
        <v>101.6</v>
      </c>
      <c r="K564" s="3">
        <v>60</v>
      </c>
      <c r="L564" s="5">
        <v>8.1000000000000003E-2</v>
      </c>
      <c r="M564" s="3" t="s">
        <v>21</v>
      </c>
      <c r="N564" s="3">
        <v>990</v>
      </c>
      <c r="O564" s="6">
        <f>Table1[[#This Row],[Current coupon %]]*Table1[[#This Row],[Face value]]/Table1[[#This Row],[Ask Price]]</f>
        <v>7.9724409448818895E-2</v>
      </c>
      <c r="P564" s="3" t="s">
        <v>97</v>
      </c>
      <c r="Q564" s="3" t="s">
        <v>22</v>
      </c>
      <c r="R564">
        <f t="shared" si="8"/>
        <v>5</v>
      </c>
      <c r="S564" s="22" cm="1">
        <f t="array" ref="S564">_xlfn.IFS(Table1[[#This Row],[Coupon frequency]]="Semi-annual",2,Table1[[#This Row],[Coupon frequency]]="Quarterly",4,Table1[[#This Row],[Coupon frequency]]="Annual",1,Table1[[#This Row],[Coupon frequency]]="Every 4 months",3,Table1[[#This Row],[Coupon frequency]]="Monthly",12)</f>
        <v>1</v>
      </c>
      <c r="T564">
        <f>Table1[[#This Row],[Term to Maturity (Years)]]*Table1[[#This Row],[Coupon Frequency2]]</f>
        <v>5</v>
      </c>
      <c r="U564">
        <f>Table1[[#This Row],[Face value]]*Table1[[#This Row],[Current coupon %]]/Table1[[#This Row],[Coupon Frequency2]]</f>
        <v>81</v>
      </c>
      <c r="V564" s="23">
        <f>RATE(Table1[[#This Row],[Total No. of Coupons]],Table1[[#This Row],[Coupon Amount]],-Table1[[#This Row],[Ask Price]],Table1[[#This Row],[Face value]])</f>
        <v>7.702407778023726E-2</v>
      </c>
      <c r="W564" s="24">
        <f>Table1[[#This Row],[IRR]]*Table1[[#This Row],[Coupon Frequency2]]</f>
        <v>7.702407778023726E-2</v>
      </c>
      <c r="X564" s="25" cm="1">
        <f t="array" ref="X5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4" s="26">
        <f>DURATION(Table1[[#This Row],[Issue date]],Table1[[#This Row],[Maturity date]],Table1[[#This Row],[Current coupon %]],Table1[[#This Row],[Yield (Annualised)]],Table1[[#This Row],[Coupon Frequency2]])</f>
        <v>4.0758738022172496</v>
      </c>
      <c r="Z564" s="26">
        <f>Table1[[#This Row],[Macaulay Duration in Years]]/(1+Table1[[#This Row],[IRR]])</f>
        <v>3.7843850349359749</v>
      </c>
      <c r="AA564" s="27">
        <f>VLOOKUP(Table1[[#This Row],[Yield Cluster]],'[1]Cluster Details'!$B$3:$C$16,2,0)</f>
        <v>7.8548801574189142E-2</v>
      </c>
      <c r="AB564" s="28">
        <f>PRICE(Table1[[#This Row],[Issue date]],Table1[[#This Row],[Maturity date]],Table1[[#This Row],[Current coupon %]],Table1[[#This Row],[Average Cluster Yield]],100,Table1[[#This Row],[Coupon Frequency2]])*Table1[[#This Row],[Face value]]/100</f>
        <v>1009.7223954907982</v>
      </c>
      <c r="AC564" s="27" t="str">
        <f>IF(Table1[[#This Row],[Ask Price]]&gt;Table1[[#This Row],[Calculated Bond Price]],"Rich","Cheap")</f>
        <v>Rich</v>
      </c>
      <c r="AD564" s="28">
        <f>PRICE(Table1[[#This Row],[Issue date]],Table1[[#This Row],[Maturity date]],Table1[[#This Row],[Current coupon %]],Table1[[#This Row],[Yield (Annualised)]]+$AE$2,100,Table1[[#This Row],[Coupon Frequency2]])*Table1[[#This Row],[Face value]]/100</f>
        <v>975.80919932976792</v>
      </c>
      <c r="AE564" s="28">
        <f>PRICE(Table1[[#This Row],[Issue date]],Table1[[#This Row],[Maturity date]],Table1[[#This Row],[Current coupon %]],Table1[[#This Row],[Yield (Annualised)]]-$AE$2,100,Table1[[#This Row],[Coupon Frequency2]])*Table1[[#This Row],[Face value]]/100</f>
        <v>1058.3738648058406</v>
      </c>
      <c r="AF564" s="28">
        <f>(Table1[[#This Row],[P (+ shock)]]+Table1[[#This Row],[P (-shock)]]-2*Table1[[#This Row],[Ask Price]])/(2*Table1[[#This Row],[Ask Price]]*($AE$2^2))</f>
        <v>10.743425864215917</v>
      </c>
    </row>
    <row r="565" spans="1:32" x14ac:dyDescent="0.25">
      <c r="A565" s="21" t="s">
        <v>1174</v>
      </c>
      <c r="B565" s="3" t="s">
        <v>1175</v>
      </c>
      <c r="C565" s="3" t="s">
        <v>19</v>
      </c>
      <c r="D565" s="4">
        <v>45267</v>
      </c>
      <c r="E565" s="4">
        <v>45998</v>
      </c>
      <c r="F565" s="3">
        <v>1000</v>
      </c>
      <c r="G565" s="3" t="s">
        <v>20</v>
      </c>
      <c r="H565" s="3">
        <v>1055</v>
      </c>
      <c r="I565" s="3" t="s">
        <v>20</v>
      </c>
      <c r="J565" s="3">
        <v>105.5</v>
      </c>
      <c r="K565" s="3">
        <v>100</v>
      </c>
      <c r="L565" s="5">
        <v>8.4000000000000005E-2</v>
      </c>
      <c r="M565" s="3" t="s">
        <v>21</v>
      </c>
      <c r="N565" s="3">
        <v>81</v>
      </c>
      <c r="O565" s="6">
        <f>Table1[[#This Row],[Current coupon %]]*Table1[[#This Row],[Face value]]/Table1[[#This Row],[Ask Price]]</f>
        <v>7.9620853080568724E-2</v>
      </c>
      <c r="P565" s="3"/>
      <c r="Q565" s="3" t="s">
        <v>22</v>
      </c>
      <c r="R565">
        <f t="shared" si="8"/>
        <v>2</v>
      </c>
      <c r="S565" s="22" cm="1">
        <f t="array" ref="S565">_xlfn.IFS(Table1[[#This Row],[Coupon frequency]]="Semi-annual",2,Table1[[#This Row],[Coupon frequency]]="Quarterly",4,Table1[[#This Row],[Coupon frequency]]="Annual",1,Table1[[#This Row],[Coupon frequency]]="Every 4 months",3,Table1[[#This Row],[Coupon frequency]]="Monthly",12)</f>
        <v>1</v>
      </c>
      <c r="T565">
        <f>Table1[[#This Row],[Term to Maturity (Years)]]*Table1[[#This Row],[Coupon Frequency2]]</f>
        <v>2</v>
      </c>
      <c r="U565">
        <f>Table1[[#This Row],[Face value]]*Table1[[#This Row],[Current coupon %]]/Table1[[#This Row],[Coupon Frequency2]]</f>
        <v>84</v>
      </c>
      <c r="V565" s="23">
        <f>RATE(Table1[[#This Row],[Total No. of Coupons]],Table1[[#This Row],[Coupon Amount]],-Table1[[#This Row],[Ask Price]],Table1[[#This Row],[Face value]])</f>
        <v>5.4242790830946831E-2</v>
      </c>
      <c r="W565" s="24">
        <f>Table1[[#This Row],[IRR]]*Table1[[#This Row],[Coupon Frequency2]]</f>
        <v>5.4242790830946831E-2</v>
      </c>
      <c r="X565" s="25" cm="1">
        <f t="array" ref="X5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5" s="26">
        <f>DURATION(Table1[[#This Row],[Issue date]],Table1[[#This Row],[Maturity date]],Table1[[#This Row],[Current coupon %]],Table1[[#This Row],[Yield (Annualised)]],Table1[[#This Row],[Coupon Frequency2]])</f>
        <v>1.9244757908016326</v>
      </c>
      <c r="Z565" s="26">
        <f>Table1[[#This Row],[Macaulay Duration in Years]]/(1+Table1[[#This Row],[IRR]])</f>
        <v>1.825457861831594</v>
      </c>
      <c r="AA565" s="27">
        <f>VLOOKUP(Table1[[#This Row],[Yield Cluster]],'[1]Cluster Details'!$B$3:$C$16,2,0)</f>
        <v>7.8548801574189142E-2</v>
      </c>
      <c r="AB565" s="28">
        <f>PRICE(Table1[[#This Row],[Issue date]],Table1[[#This Row],[Maturity date]],Table1[[#This Row],[Current coupon %]],Table1[[#This Row],[Average Cluster Yield]],100,Table1[[#This Row],[Coupon Frequency2]])*Table1[[#This Row],[Face value]]/100</f>
        <v>1009.7403063232267</v>
      </c>
      <c r="AC565" s="27" t="str">
        <f>IF(Table1[[#This Row],[Ask Price]]&gt;Table1[[#This Row],[Calculated Bond Price]],"Rich","Cheap")</f>
        <v>Rich</v>
      </c>
      <c r="AD565" s="28">
        <f>PRICE(Table1[[#This Row],[Issue date]],Table1[[#This Row],[Maturity date]],Table1[[#This Row],[Current coupon %]],Table1[[#This Row],[Yield (Annualised)]]+$AE$2,100,Table1[[#This Row],[Coupon Frequency2]])*Table1[[#This Row],[Face value]]/100</f>
        <v>1036.008492534052</v>
      </c>
      <c r="AE565" s="28">
        <f>PRICE(Table1[[#This Row],[Issue date]],Table1[[#This Row],[Maturity date]],Table1[[#This Row],[Current coupon %]],Table1[[#This Row],[Yield (Annualised)]]-$AE$2,100,Table1[[#This Row],[Coupon Frequency2]])*Table1[[#This Row],[Face value]]/100</f>
        <v>1074.5324494403785</v>
      </c>
      <c r="AF565" s="28">
        <f>(Table1[[#This Row],[P (+ shock)]]+Table1[[#This Row],[P (-shock)]]-2*Table1[[#This Row],[Ask Price]])/(2*Table1[[#This Row],[Ask Price]]*($AE$2^2))</f>
        <v>2.5637060399552243</v>
      </c>
    </row>
    <row r="566" spans="1:32" x14ac:dyDescent="0.25">
      <c r="A566" s="21" t="s">
        <v>1176</v>
      </c>
      <c r="B566" s="3" t="s">
        <v>1177</v>
      </c>
      <c r="C566" s="3" t="s">
        <v>19</v>
      </c>
      <c r="D566" s="4">
        <v>43371</v>
      </c>
      <c r="E566" s="4">
        <v>47024</v>
      </c>
      <c r="F566" s="3">
        <v>1000000</v>
      </c>
      <c r="G566" s="3" t="s">
        <v>20</v>
      </c>
      <c r="H566" s="3">
        <v>1093218</v>
      </c>
      <c r="I566" s="3" t="s">
        <v>20</v>
      </c>
      <c r="J566" s="3">
        <v>109.3218</v>
      </c>
      <c r="K566" s="3">
        <v>250</v>
      </c>
      <c r="L566" s="5">
        <v>8.6999999999999994E-2</v>
      </c>
      <c r="M566" s="3" t="s">
        <v>53</v>
      </c>
      <c r="N566" s="3">
        <v>1107</v>
      </c>
      <c r="O566" s="6">
        <f>Table1[[#This Row],[Current coupon %]]*Table1[[#This Row],[Face value]]/Table1[[#This Row],[Ask Price]]</f>
        <v>7.9581565616372946E-2</v>
      </c>
      <c r="P566" s="3"/>
      <c r="Q566" s="3" t="s">
        <v>22</v>
      </c>
      <c r="R566">
        <f t="shared" si="8"/>
        <v>10</v>
      </c>
      <c r="S566" s="22" cm="1">
        <f t="array" ref="S566">_xlfn.IFS(Table1[[#This Row],[Coupon frequency]]="Semi-annual",2,Table1[[#This Row],[Coupon frequency]]="Quarterly",4,Table1[[#This Row],[Coupon frequency]]="Annual",1,Table1[[#This Row],[Coupon frequency]]="Every 4 months",3,Table1[[#This Row],[Coupon frequency]]="Monthly",12)</f>
        <v>2</v>
      </c>
      <c r="T566">
        <f>Table1[[#This Row],[Term to Maturity (Years)]]*Table1[[#This Row],[Coupon Frequency2]]</f>
        <v>20</v>
      </c>
      <c r="U566">
        <f>Table1[[#This Row],[Face value]]*Table1[[#This Row],[Current coupon %]]/Table1[[#This Row],[Coupon Frequency2]]</f>
        <v>43500</v>
      </c>
      <c r="V566" s="23">
        <f>RATE(Table1[[#This Row],[Total No. of Coupons]],Table1[[#This Row],[Coupon Amount]],-Table1[[#This Row],[Ask Price]],Table1[[#This Row],[Face value]])</f>
        <v>3.6831892435417769E-2</v>
      </c>
      <c r="W566" s="24">
        <f>Table1[[#This Row],[IRR]]*Table1[[#This Row],[Coupon Frequency2]]</f>
        <v>7.3663784870835539E-2</v>
      </c>
      <c r="X566" s="25" cm="1">
        <f t="array" ref="X5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6" s="26">
        <f>DURATION(Table1[[#This Row],[Issue date]],Table1[[#This Row],[Maturity date]],Table1[[#This Row],[Current coupon %]],Table1[[#This Row],[Yield (Annualised)]],Table1[[#This Row],[Coupon Frequency2]])</f>
        <v>7.0261491412567034</v>
      </c>
      <c r="Z566" s="26">
        <f>Table1[[#This Row],[Macaulay Duration in Years]]/(1+Table1[[#This Row],[IRR]])</f>
        <v>6.7765557681226012</v>
      </c>
      <c r="AA566" s="27">
        <f>VLOOKUP(Table1[[#This Row],[Yield Cluster]],'[1]Cluster Details'!$B$3:$C$16,2,0)</f>
        <v>7.8548801574189142E-2</v>
      </c>
      <c r="AB566" s="28">
        <f>PRICE(Table1[[#This Row],[Issue date]],Table1[[#This Row],[Maturity date]],Table1[[#This Row],[Current coupon %]],Table1[[#This Row],[Average Cluster Yield]],100,Table1[[#This Row],[Coupon Frequency2]])*Table1[[#This Row],[Face value]]/100</f>
        <v>1057798.0215619891</v>
      </c>
      <c r="AC566" s="27" t="str">
        <f>IF(Table1[[#This Row],[Ask Price]]&gt;Table1[[#This Row],[Calculated Bond Price]],"Rich","Cheap")</f>
        <v>Rich</v>
      </c>
      <c r="AD566" s="28">
        <f>PRICE(Table1[[#This Row],[Issue date]],Table1[[#This Row],[Maturity date]],Table1[[#This Row],[Current coupon %]],Table1[[#This Row],[Yield (Annualised)]]+$AE$2,100,Table1[[#This Row],[Coupon Frequency2]])*Table1[[#This Row],[Face value]]/100</f>
        <v>1022306.7856192748</v>
      </c>
      <c r="AE566" s="28">
        <f>PRICE(Table1[[#This Row],[Issue date]],Table1[[#This Row],[Maturity date]],Table1[[#This Row],[Current coupon %]],Table1[[#This Row],[Yield (Annualised)]]-$AE$2,100,Table1[[#This Row],[Coupon Frequency2]])*Table1[[#This Row],[Face value]]/100</f>
        <v>1170688.0164311547</v>
      </c>
      <c r="AF566" s="28">
        <f>(Table1[[#This Row],[P (+ shock)]]+Table1[[#This Row],[P (-shock)]]-2*Table1[[#This Row],[Ask Price]])/(2*Table1[[#This Row],[Ask Price]]*($AE$2^2))</f>
        <v>29.997685962129218</v>
      </c>
    </row>
    <row r="567" spans="1:32" x14ac:dyDescent="0.25">
      <c r="A567" s="21" t="s">
        <v>1178</v>
      </c>
      <c r="B567" s="3" t="s">
        <v>1179</v>
      </c>
      <c r="C567" s="3" t="s">
        <v>19</v>
      </c>
      <c r="D567" s="4">
        <v>43844</v>
      </c>
      <c r="E567" s="4">
        <v>46766</v>
      </c>
      <c r="F567" s="3">
        <v>1000</v>
      </c>
      <c r="G567" s="3" t="s">
        <v>20</v>
      </c>
      <c r="H567" s="3">
        <v>1056</v>
      </c>
      <c r="I567" s="3" t="s">
        <v>20</v>
      </c>
      <c r="J567" s="3">
        <v>105.6</v>
      </c>
      <c r="K567" s="3">
        <v>100</v>
      </c>
      <c r="L567" s="5">
        <v>8.4000000000000005E-2</v>
      </c>
      <c r="M567" s="3" t="s">
        <v>21</v>
      </c>
      <c r="N567" s="3">
        <v>849</v>
      </c>
      <c r="O567" s="6">
        <f>Table1[[#This Row],[Current coupon %]]*Table1[[#This Row],[Face value]]/Table1[[#This Row],[Ask Price]]</f>
        <v>7.9545454545454544E-2</v>
      </c>
      <c r="P567" s="3"/>
      <c r="Q567" s="3" t="s">
        <v>22</v>
      </c>
      <c r="R567">
        <f t="shared" si="8"/>
        <v>8</v>
      </c>
      <c r="S567" s="22" cm="1">
        <f t="array" ref="S567">_xlfn.IFS(Table1[[#This Row],[Coupon frequency]]="Semi-annual",2,Table1[[#This Row],[Coupon frequency]]="Quarterly",4,Table1[[#This Row],[Coupon frequency]]="Annual",1,Table1[[#This Row],[Coupon frequency]]="Every 4 months",3,Table1[[#This Row],[Coupon frequency]]="Monthly",12)</f>
        <v>1</v>
      </c>
      <c r="T567">
        <f>Table1[[#This Row],[Term to Maturity (Years)]]*Table1[[#This Row],[Coupon Frequency2]]</f>
        <v>8</v>
      </c>
      <c r="U567">
        <f>Table1[[#This Row],[Face value]]*Table1[[#This Row],[Current coupon %]]/Table1[[#This Row],[Coupon Frequency2]]</f>
        <v>84</v>
      </c>
      <c r="V567" s="23">
        <f>RATE(Table1[[#This Row],[Total No. of Coupons]],Table1[[#This Row],[Coupon Amount]],-Table1[[#This Row],[Ask Price]],Table1[[#This Row],[Face value]])</f>
        <v>7.4459108495612394E-2</v>
      </c>
      <c r="W567" s="24">
        <f>Table1[[#This Row],[IRR]]*Table1[[#This Row],[Coupon Frequency2]]</f>
        <v>7.4459108495612394E-2</v>
      </c>
      <c r="X567" s="25" cm="1">
        <f t="array" ref="X5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7" s="26">
        <f>DURATION(Table1[[#This Row],[Issue date]],Table1[[#This Row],[Maturity date]],Table1[[#This Row],[Current coupon %]],Table1[[#This Row],[Yield (Annualised)]],Table1[[#This Row],[Coupon Frequency2]])</f>
        <v>6.1908247181080478</v>
      </c>
      <c r="Z567" s="26">
        <f>Table1[[#This Row],[Macaulay Duration in Years]]/(1+Table1[[#This Row],[IRR]])</f>
        <v>5.7618057952675716</v>
      </c>
      <c r="AA567" s="27">
        <f>VLOOKUP(Table1[[#This Row],[Yield Cluster]],'[1]Cluster Details'!$B$3:$C$16,2,0)</f>
        <v>7.8548801574189142E-2</v>
      </c>
      <c r="AB567" s="28">
        <f>PRICE(Table1[[#This Row],[Issue date]],Table1[[#This Row],[Maturity date]],Table1[[#This Row],[Current coupon %]],Table1[[#This Row],[Average Cluster Yield]],100,Table1[[#This Row],[Coupon Frequency2]])*Table1[[#This Row],[Face value]]/100</f>
        <v>1031.4993272234515</v>
      </c>
      <c r="AC567" s="27" t="str">
        <f>IF(Table1[[#This Row],[Ask Price]]&gt;Table1[[#This Row],[Calculated Bond Price]],"Rich","Cheap")</f>
        <v>Rich</v>
      </c>
      <c r="AD567" s="28">
        <f>PRICE(Table1[[#This Row],[Issue date]],Table1[[#This Row],[Maturity date]],Table1[[#This Row],[Current coupon %]],Table1[[#This Row],[Yield (Annualised)]]+$AE$2,100,Table1[[#This Row],[Coupon Frequency2]])*Table1[[#This Row],[Face value]]/100</f>
        <v>997.40573574111181</v>
      </c>
      <c r="AE567" s="28">
        <f>PRICE(Table1[[#This Row],[Issue date]],Table1[[#This Row],[Maturity date]],Table1[[#This Row],[Current coupon %]],Table1[[#This Row],[Yield (Annualised)]]-$AE$2,100,Table1[[#This Row],[Coupon Frequency2]])*Table1[[#This Row],[Face value]]/100</f>
        <v>1119.2320627234888</v>
      </c>
      <c r="AF567" s="28">
        <f>(Table1[[#This Row],[P (+ shock)]]+Table1[[#This Row],[P (-shock)]]-2*Table1[[#This Row],[Ask Price]])/(2*Table1[[#This Row],[Ask Price]]*($AE$2^2))</f>
        <v>21.959273033146612</v>
      </c>
    </row>
    <row r="568" spans="1:32" x14ac:dyDescent="0.25">
      <c r="A568" s="21" t="s">
        <v>1180</v>
      </c>
      <c r="B568" s="3" t="s">
        <v>1181</v>
      </c>
      <c r="C568" s="3" t="s">
        <v>19</v>
      </c>
      <c r="D568" s="4">
        <v>44830</v>
      </c>
      <c r="E568" s="4">
        <v>48481</v>
      </c>
      <c r="F568" s="3">
        <v>1000000</v>
      </c>
      <c r="G568" s="3" t="s">
        <v>20</v>
      </c>
      <c r="H568" s="3">
        <v>1049990</v>
      </c>
      <c r="I568" s="3" t="s">
        <v>20</v>
      </c>
      <c r="J568" s="3">
        <v>104.999</v>
      </c>
      <c r="K568" s="3">
        <v>6</v>
      </c>
      <c r="L568" s="5">
        <v>8.3499999999999991E-2</v>
      </c>
      <c r="M568" s="3" t="s">
        <v>21</v>
      </c>
      <c r="N568" s="3">
        <v>2564</v>
      </c>
      <c r="O568" s="6">
        <f>Table1[[#This Row],[Current coupon %]]*Table1[[#This Row],[Face value]]/Table1[[#This Row],[Ask Price]]</f>
        <v>7.9524566900637139E-2</v>
      </c>
      <c r="P568" s="3"/>
      <c r="Q568" s="3" t="s">
        <v>22</v>
      </c>
      <c r="R568">
        <f t="shared" si="8"/>
        <v>10</v>
      </c>
      <c r="S568" s="22" cm="1">
        <f t="array" ref="S568">_xlfn.IFS(Table1[[#This Row],[Coupon frequency]]="Semi-annual",2,Table1[[#This Row],[Coupon frequency]]="Quarterly",4,Table1[[#This Row],[Coupon frequency]]="Annual",1,Table1[[#This Row],[Coupon frequency]]="Every 4 months",3,Table1[[#This Row],[Coupon frequency]]="Monthly",12)</f>
        <v>1</v>
      </c>
      <c r="T568">
        <f>Table1[[#This Row],[Term to Maturity (Years)]]*Table1[[#This Row],[Coupon Frequency2]]</f>
        <v>10</v>
      </c>
      <c r="U568">
        <f>Table1[[#This Row],[Face value]]*Table1[[#This Row],[Current coupon %]]/Table1[[#This Row],[Coupon Frequency2]]</f>
        <v>83499.999999999985</v>
      </c>
      <c r="V568" s="23">
        <f>RATE(Table1[[#This Row],[Total No. of Coupons]],Table1[[#This Row],[Coupon Amount]],-Table1[[#This Row],[Ask Price]],Table1[[#This Row],[Face value]])</f>
        <v>7.6177940474405959E-2</v>
      </c>
      <c r="W568" s="24">
        <f>Table1[[#This Row],[IRR]]*Table1[[#This Row],[Coupon Frequency2]]</f>
        <v>7.6177940474405959E-2</v>
      </c>
      <c r="X568" s="25" cm="1">
        <f t="array" ref="X5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8" s="26">
        <f>DURATION(Table1[[#This Row],[Issue date]],Table1[[#This Row],[Maturity date]],Table1[[#This Row],[Current coupon %]],Table1[[#This Row],[Yield (Annualised)]],Table1[[#This Row],[Coupon Frequency2]])</f>
        <v>7.2253162193992022</v>
      </c>
      <c r="Z568" s="26">
        <f>Table1[[#This Row],[Macaulay Duration in Years]]/(1+Table1[[#This Row],[IRR]])</f>
        <v>6.7138676120922014</v>
      </c>
      <c r="AA568" s="27">
        <f>VLOOKUP(Table1[[#This Row],[Yield Cluster]],'[1]Cluster Details'!$B$3:$C$16,2,0)</f>
        <v>7.8548801574189142E-2</v>
      </c>
      <c r="AB568" s="28">
        <f>PRICE(Table1[[#This Row],[Issue date]],Table1[[#This Row],[Maturity date]],Table1[[#This Row],[Current coupon %]],Table1[[#This Row],[Average Cluster Yield]],100,Table1[[#This Row],[Coupon Frequency2]])*Table1[[#This Row],[Face value]]/100</f>
        <v>1033411.8531834839</v>
      </c>
      <c r="AC568" s="27" t="str">
        <f>IF(Table1[[#This Row],[Ask Price]]&gt;Table1[[#This Row],[Calculated Bond Price]],"Rich","Cheap")</f>
        <v>Rich</v>
      </c>
      <c r="AD568" s="28">
        <f>PRICE(Table1[[#This Row],[Issue date]],Table1[[#This Row],[Maturity date]],Table1[[#This Row],[Current coupon %]],Table1[[#This Row],[Yield (Annualised)]]+$AE$2,100,Table1[[#This Row],[Coupon Frequency2]])*Table1[[#This Row],[Face value]]/100</f>
        <v>982508.38566949801</v>
      </c>
      <c r="AE568" s="28">
        <f>PRICE(Table1[[#This Row],[Issue date]],Table1[[#This Row],[Maturity date]],Table1[[#This Row],[Current coupon %]],Table1[[#This Row],[Yield (Annualised)]]-$AE$2,100,Table1[[#This Row],[Coupon Frequency2]])*Table1[[#This Row],[Face value]]/100</f>
        <v>1123778.0577102455</v>
      </c>
      <c r="AF568" s="28">
        <f>(Table1[[#This Row],[P (+ shock)]]+Table1[[#This Row],[P (-shock)]]-2*Table1[[#This Row],[Ask Price]])/(2*Table1[[#This Row],[Ask Price]]*($AE$2^2))</f>
        <v>30.030968769909666</v>
      </c>
    </row>
    <row r="569" spans="1:32" x14ac:dyDescent="0.25">
      <c r="A569" s="21" t="s">
        <v>1182</v>
      </c>
      <c r="B569" s="3" t="s">
        <v>1183</v>
      </c>
      <c r="C569" s="3" t="s">
        <v>19</v>
      </c>
      <c r="D569" s="4">
        <v>43537</v>
      </c>
      <c r="E569" s="4">
        <v>47190</v>
      </c>
      <c r="F569" s="3">
        <v>1000000</v>
      </c>
      <c r="G569" s="3" t="s">
        <v>20</v>
      </c>
      <c r="H569" s="3">
        <v>1050210</v>
      </c>
      <c r="I569" s="3" t="s">
        <v>20</v>
      </c>
      <c r="J569" s="3">
        <v>105.021</v>
      </c>
      <c r="K569" s="3">
        <v>5</v>
      </c>
      <c r="L569" s="5">
        <v>8.3499999999999991E-2</v>
      </c>
      <c r="M569" s="3" t="s">
        <v>21</v>
      </c>
      <c r="N569" s="3">
        <v>1273</v>
      </c>
      <c r="O569" s="6">
        <f>Table1[[#This Row],[Current coupon %]]*Table1[[#This Row],[Face value]]/Table1[[#This Row],[Ask Price]]</f>
        <v>7.9507907942221068E-2</v>
      </c>
      <c r="P569" s="3" t="s">
        <v>297</v>
      </c>
      <c r="Q569" s="3" t="s">
        <v>22</v>
      </c>
      <c r="R569">
        <f t="shared" si="8"/>
        <v>10</v>
      </c>
      <c r="S569" s="22" cm="1">
        <f t="array" ref="S569">_xlfn.IFS(Table1[[#This Row],[Coupon frequency]]="Semi-annual",2,Table1[[#This Row],[Coupon frequency]]="Quarterly",4,Table1[[#This Row],[Coupon frequency]]="Annual",1,Table1[[#This Row],[Coupon frequency]]="Every 4 months",3,Table1[[#This Row],[Coupon frequency]]="Monthly",12)</f>
        <v>1</v>
      </c>
      <c r="T569">
        <f>Table1[[#This Row],[Term to Maturity (Years)]]*Table1[[#This Row],[Coupon Frequency2]]</f>
        <v>10</v>
      </c>
      <c r="U569">
        <f>Table1[[#This Row],[Face value]]*Table1[[#This Row],[Current coupon %]]/Table1[[#This Row],[Coupon Frequency2]]</f>
        <v>83499.999999999985</v>
      </c>
      <c r="V569" s="23">
        <f>RATE(Table1[[#This Row],[Total No. of Coupons]],Table1[[#This Row],[Coupon Amount]],-Table1[[#This Row],[Ask Price]],Table1[[#This Row],[Face value]])</f>
        <v>7.6146760931197571E-2</v>
      </c>
      <c r="W569" s="24">
        <f>Table1[[#This Row],[IRR]]*Table1[[#This Row],[Coupon Frequency2]]</f>
        <v>7.6146760931197571E-2</v>
      </c>
      <c r="X569" s="25" cm="1">
        <f t="array" ref="X5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69" s="26">
        <f>DURATION(Table1[[#This Row],[Issue date]],Table1[[#This Row],[Maturity date]],Table1[[#This Row],[Current coupon %]],Table1[[#This Row],[Yield (Annualised)]],Table1[[#This Row],[Coupon Frequency2]])</f>
        <v>7.2311851087871339</v>
      </c>
      <c r="Z569" s="26">
        <f>Table1[[#This Row],[Macaulay Duration in Years]]/(1+Table1[[#This Row],[IRR]])</f>
        <v>6.7195157494410305</v>
      </c>
      <c r="AA569" s="27">
        <f>VLOOKUP(Table1[[#This Row],[Yield Cluster]],'[1]Cluster Details'!$B$3:$C$16,2,0)</f>
        <v>7.8548801574189142E-2</v>
      </c>
      <c r="AB569" s="28">
        <f>PRICE(Table1[[#This Row],[Issue date]],Table1[[#This Row],[Maturity date]],Table1[[#This Row],[Current coupon %]],Table1[[#This Row],[Average Cluster Yield]],100,Table1[[#This Row],[Coupon Frequency2]])*Table1[[#This Row],[Face value]]/100</f>
        <v>1033441.5110750278</v>
      </c>
      <c r="AC569" s="27" t="str">
        <f>IF(Table1[[#This Row],[Ask Price]]&gt;Table1[[#This Row],[Calculated Bond Price]],"Rich","Cheap")</f>
        <v>Rich</v>
      </c>
      <c r="AD569" s="28">
        <f>PRICE(Table1[[#This Row],[Issue date]],Table1[[#This Row],[Maturity date]],Table1[[#This Row],[Current coupon %]],Table1[[#This Row],[Yield (Annualised)]]+$AE$2,100,Table1[[#This Row],[Coupon Frequency2]])*Table1[[#This Row],[Face value]]/100</f>
        <v>982722.06494476553</v>
      </c>
      <c r="AE569" s="28">
        <f>PRICE(Table1[[#This Row],[Issue date]],Table1[[#This Row],[Maturity date]],Table1[[#This Row],[Current coupon %]],Table1[[#This Row],[Yield (Annualised)]]-$AE$2,100,Table1[[#This Row],[Coupon Frequency2]])*Table1[[#This Row],[Face value]]/100</f>
        <v>1124082.752295214</v>
      </c>
      <c r="AF569" s="28">
        <f>(Table1[[#This Row],[P (+ shock)]]+Table1[[#This Row],[P (-shock)]]-2*Table1[[#This Row],[Ask Price]])/(2*Table1[[#This Row],[Ask Price]]*($AE$2^2))</f>
        <v>30.397812056537653</v>
      </c>
    </row>
    <row r="570" spans="1:32" x14ac:dyDescent="0.25">
      <c r="A570" s="21" t="s">
        <v>1184</v>
      </c>
      <c r="B570" s="3" t="s">
        <v>1185</v>
      </c>
      <c r="C570" s="3" t="s">
        <v>19</v>
      </c>
      <c r="D570" s="4">
        <v>42821</v>
      </c>
      <c r="E570" s="4">
        <v>46472</v>
      </c>
      <c r="F570" s="3">
        <v>1000000</v>
      </c>
      <c r="G570" s="3" t="s">
        <v>20</v>
      </c>
      <c r="H570" s="3">
        <v>1050368</v>
      </c>
      <c r="I570" s="3" t="s">
        <v>20</v>
      </c>
      <c r="J570" s="3">
        <v>105.0368</v>
      </c>
      <c r="K570" s="3">
        <v>1</v>
      </c>
      <c r="L570" s="5">
        <v>8.3499999999999991E-2</v>
      </c>
      <c r="M570" s="3" t="s">
        <v>21</v>
      </c>
      <c r="N570" s="3">
        <v>555</v>
      </c>
      <c r="O570" s="6">
        <f>Table1[[#This Row],[Current coupon %]]*Table1[[#This Row],[Face value]]/Table1[[#This Row],[Ask Price]]</f>
        <v>7.9495948086765772E-2</v>
      </c>
      <c r="P570" s="3" t="s">
        <v>54</v>
      </c>
      <c r="Q570" s="3" t="s">
        <v>22</v>
      </c>
      <c r="R570">
        <f t="shared" si="8"/>
        <v>10</v>
      </c>
      <c r="S570" s="22" cm="1">
        <f t="array" ref="S570">_xlfn.IFS(Table1[[#This Row],[Coupon frequency]]="Semi-annual",2,Table1[[#This Row],[Coupon frequency]]="Quarterly",4,Table1[[#This Row],[Coupon frequency]]="Annual",1,Table1[[#This Row],[Coupon frequency]]="Every 4 months",3,Table1[[#This Row],[Coupon frequency]]="Monthly",12)</f>
        <v>1</v>
      </c>
      <c r="T570">
        <f>Table1[[#This Row],[Term to Maturity (Years)]]*Table1[[#This Row],[Coupon Frequency2]]</f>
        <v>10</v>
      </c>
      <c r="U570">
        <f>Table1[[#This Row],[Face value]]*Table1[[#This Row],[Current coupon %]]/Table1[[#This Row],[Coupon Frequency2]]</f>
        <v>83499.999999999985</v>
      </c>
      <c r="V570" s="23">
        <f>RATE(Table1[[#This Row],[Total No. of Coupons]],Table1[[#This Row],[Coupon Amount]],-Table1[[#This Row],[Ask Price]],Table1[[#This Row],[Face value]])</f>
        <v>7.6124373770249665E-2</v>
      </c>
      <c r="W570" s="24">
        <f>Table1[[#This Row],[IRR]]*Table1[[#This Row],[Coupon Frequency2]]</f>
        <v>7.6124373770249665E-2</v>
      </c>
      <c r="X570" s="25" cm="1">
        <f t="array" ref="X5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0" s="26">
        <f>DURATION(Table1[[#This Row],[Issue date]],Table1[[#This Row],[Maturity date]],Table1[[#This Row],[Current coupon %]],Table1[[#This Row],[Yield (Annualised)]],Table1[[#This Row],[Coupon Frequency2]])</f>
        <v>7.2286323001255548</v>
      </c>
      <c r="Z570" s="26">
        <f>Table1[[#This Row],[Macaulay Duration in Years]]/(1+Table1[[#This Row],[IRR]])</f>
        <v>6.7172833143809569</v>
      </c>
      <c r="AA570" s="27">
        <f>VLOOKUP(Table1[[#This Row],[Yield Cluster]],'[1]Cluster Details'!$B$3:$C$16,2,0)</f>
        <v>7.8548801574189142E-2</v>
      </c>
      <c r="AB570" s="28">
        <f>PRICE(Table1[[#This Row],[Issue date]],Table1[[#This Row],[Maturity date]],Table1[[#This Row],[Current coupon %]],Table1[[#This Row],[Average Cluster Yield]],100,Table1[[#This Row],[Coupon Frequency2]])*Table1[[#This Row],[Face value]]/100</f>
        <v>1033426.6593271722</v>
      </c>
      <c r="AC570" s="27" t="str">
        <f>IF(Table1[[#This Row],[Ask Price]]&gt;Table1[[#This Row],[Calculated Bond Price]],"Rich","Cheap")</f>
        <v>Rich</v>
      </c>
      <c r="AD570" s="28">
        <f>PRICE(Table1[[#This Row],[Issue date]],Table1[[#This Row],[Maturity date]],Table1[[#This Row],[Current coupon %]],Table1[[#This Row],[Yield (Annualised)]]+$AE$2,100,Table1[[#This Row],[Coupon Frequency2]])*Table1[[#This Row],[Face value]]/100</f>
        <v>982860.14074383618</v>
      </c>
      <c r="AE570" s="28">
        <f>PRICE(Table1[[#This Row],[Issue date]],Table1[[#This Row],[Maturity date]],Table1[[#This Row],[Current coupon %]],Table1[[#This Row],[Yield (Annualised)]]-$AE$2,100,Table1[[#This Row],[Coupon Frequency2]])*Table1[[#This Row],[Face value]]/100</f>
        <v>1124223.8450450671</v>
      </c>
      <c r="AF570" s="28">
        <f>(Table1[[#This Row],[P (+ shock)]]+Table1[[#This Row],[P (-shock)]]-2*Table1[[#This Row],[Ask Price]])/(2*Table1[[#This Row],[Ask Price]]*($AE$2^2))</f>
        <v>30.217913097615309</v>
      </c>
    </row>
    <row r="571" spans="1:32" x14ac:dyDescent="0.25">
      <c r="A571" s="21" t="s">
        <v>1186</v>
      </c>
      <c r="B571" s="3" t="s">
        <v>1187</v>
      </c>
      <c r="C571" s="3" t="s">
        <v>19</v>
      </c>
      <c r="D571" s="4">
        <v>42913</v>
      </c>
      <c r="E571" s="4">
        <v>46563</v>
      </c>
      <c r="F571" s="3">
        <v>1000000</v>
      </c>
      <c r="G571" s="3" t="s">
        <v>20</v>
      </c>
      <c r="H571" s="3">
        <v>940300</v>
      </c>
      <c r="I571" s="3" t="s">
        <v>20</v>
      </c>
      <c r="J571" s="3">
        <v>94.03</v>
      </c>
      <c r="K571" s="3">
        <v>2</v>
      </c>
      <c r="L571" s="5">
        <v>7.4700000000000003E-2</v>
      </c>
      <c r="M571" s="3" t="s">
        <v>21</v>
      </c>
      <c r="N571" s="3">
        <v>646</v>
      </c>
      <c r="O571" s="6">
        <f>Table1[[#This Row],[Current coupon %]]*Table1[[#This Row],[Face value]]/Table1[[#This Row],[Ask Price]]</f>
        <v>7.9442731043284059E-2</v>
      </c>
      <c r="P571" s="3" t="s">
        <v>297</v>
      </c>
      <c r="Q571" s="3" t="s">
        <v>22</v>
      </c>
      <c r="R571">
        <f t="shared" si="8"/>
        <v>10</v>
      </c>
      <c r="S571" s="22" cm="1">
        <f t="array" ref="S571">_xlfn.IFS(Table1[[#This Row],[Coupon frequency]]="Semi-annual",2,Table1[[#This Row],[Coupon frequency]]="Quarterly",4,Table1[[#This Row],[Coupon frequency]]="Annual",1,Table1[[#This Row],[Coupon frequency]]="Every 4 months",3,Table1[[#This Row],[Coupon frequency]]="Monthly",12)</f>
        <v>1</v>
      </c>
      <c r="T571">
        <f>Table1[[#This Row],[Term to Maturity (Years)]]*Table1[[#This Row],[Coupon Frequency2]]</f>
        <v>10</v>
      </c>
      <c r="U571">
        <f>Table1[[#This Row],[Face value]]*Table1[[#This Row],[Current coupon %]]/Table1[[#This Row],[Coupon Frequency2]]</f>
        <v>74700</v>
      </c>
      <c r="V571" s="23">
        <f>RATE(Table1[[#This Row],[Total No. of Coupons]],Table1[[#This Row],[Coupon Amount]],-Table1[[#This Row],[Ask Price]],Table1[[#This Row],[Face value]])</f>
        <v>8.3748048836328998E-2</v>
      </c>
      <c r="W571" s="24">
        <f>Table1[[#This Row],[IRR]]*Table1[[#This Row],[Coupon Frequency2]]</f>
        <v>8.3748048836328998E-2</v>
      </c>
      <c r="X571" s="25" cm="1">
        <f t="array" ref="X5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1" s="26">
        <f>DURATION(Table1[[#This Row],[Issue date]],Table1[[#This Row],[Maturity date]],Table1[[#This Row],[Current coupon %]],Table1[[#This Row],[Yield (Annualised)]],Table1[[#This Row],[Coupon Frequency2]])</f>
        <v>7.2916081627796485</v>
      </c>
      <c r="Z571" s="26">
        <f>Table1[[#This Row],[Macaulay Duration in Years]]/(1+Table1[[#This Row],[IRR]])</f>
        <v>6.7281395990599382</v>
      </c>
      <c r="AA571" s="27">
        <f>VLOOKUP(Table1[[#This Row],[Yield Cluster]],'[1]Cluster Details'!$B$3:$C$16,2,0)</f>
        <v>7.8548801574189142E-2</v>
      </c>
      <c r="AB571" s="28">
        <f>PRICE(Table1[[#This Row],[Issue date]],Table1[[#This Row],[Maturity date]],Table1[[#This Row],[Current coupon %]],Table1[[#This Row],[Average Cluster Yield]],100,Table1[[#This Row],[Coupon Frequency2]])*Table1[[#This Row],[Face value]]/100</f>
        <v>973998.58265018498</v>
      </c>
      <c r="AC571" s="27" t="str">
        <f>IF(Table1[[#This Row],[Ask Price]]&gt;Table1[[#This Row],[Calculated Bond Price]],"Rich","Cheap")</f>
        <v>Cheap</v>
      </c>
      <c r="AD571" s="28">
        <f>PRICE(Table1[[#This Row],[Issue date]],Table1[[#This Row],[Maturity date]],Table1[[#This Row],[Current coupon %]],Table1[[#This Row],[Yield (Annualised)]]+$AE$2,100,Table1[[#This Row],[Coupon Frequency2]])*Table1[[#This Row],[Face value]]/100</f>
        <v>879770.36479157</v>
      </c>
      <c r="AE571" s="28">
        <f>PRICE(Table1[[#This Row],[Issue date]],Table1[[#This Row],[Maturity date]],Table1[[#This Row],[Current coupon %]],Table1[[#This Row],[Yield (Annualised)]]-$AE$2,100,Table1[[#This Row],[Coupon Frequency2]])*Table1[[#This Row],[Face value]]/100</f>
        <v>1006554.7720368893</v>
      </c>
      <c r="AF571" s="28">
        <f>(Table1[[#This Row],[P (+ shock)]]+Table1[[#This Row],[P (-shock)]]-2*Table1[[#This Row],[Ask Price]])/(2*Table1[[#This Row],[Ask Price]]*($AE$2^2))</f>
        <v>30.443139574919353</v>
      </c>
    </row>
    <row r="572" spans="1:32" x14ac:dyDescent="0.25">
      <c r="A572" s="21" t="s">
        <v>1188</v>
      </c>
      <c r="B572" s="3" t="s">
        <v>1189</v>
      </c>
      <c r="C572" s="3" t="s">
        <v>19</v>
      </c>
      <c r="D572" s="4">
        <v>44995</v>
      </c>
      <c r="E572" s="4">
        <v>46853</v>
      </c>
      <c r="F572" s="3">
        <v>1000</v>
      </c>
      <c r="G572" s="3" t="s">
        <v>20</v>
      </c>
      <c r="H572" s="3">
        <v>1020</v>
      </c>
      <c r="I572" s="3" t="s">
        <v>20</v>
      </c>
      <c r="J572" s="3">
        <v>102</v>
      </c>
      <c r="K572" s="3">
        <v>20</v>
      </c>
      <c r="L572" s="5">
        <v>8.1000000000000003E-2</v>
      </c>
      <c r="M572" s="3" t="s">
        <v>21</v>
      </c>
      <c r="N572" s="3">
        <v>936</v>
      </c>
      <c r="O572" s="6">
        <f>Table1[[#This Row],[Current coupon %]]*Table1[[#This Row],[Face value]]/Table1[[#This Row],[Ask Price]]</f>
        <v>7.9411764705882348E-2</v>
      </c>
      <c r="P572" s="3" t="s">
        <v>97</v>
      </c>
      <c r="Q572" s="3" t="s">
        <v>22</v>
      </c>
      <c r="R572">
        <f t="shared" si="8"/>
        <v>5</v>
      </c>
      <c r="S572" s="22" cm="1">
        <f t="array" ref="S572">_xlfn.IFS(Table1[[#This Row],[Coupon frequency]]="Semi-annual",2,Table1[[#This Row],[Coupon frequency]]="Quarterly",4,Table1[[#This Row],[Coupon frequency]]="Annual",1,Table1[[#This Row],[Coupon frequency]]="Every 4 months",3,Table1[[#This Row],[Coupon frequency]]="Monthly",12)</f>
        <v>1</v>
      </c>
      <c r="T572">
        <f>Table1[[#This Row],[Term to Maturity (Years)]]*Table1[[#This Row],[Coupon Frequency2]]</f>
        <v>5</v>
      </c>
      <c r="U572">
        <f>Table1[[#This Row],[Face value]]*Table1[[#This Row],[Current coupon %]]/Table1[[#This Row],[Coupon Frequency2]]</f>
        <v>81</v>
      </c>
      <c r="V572" s="23">
        <f>RATE(Table1[[#This Row],[Total No. of Coupons]],Table1[[#This Row],[Coupon Amount]],-Table1[[#This Row],[Ask Price]],Table1[[#This Row],[Face value]])</f>
        <v>7.6043001637547972E-2</v>
      </c>
      <c r="W572" s="24">
        <f>Table1[[#This Row],[IRR]]*Table1[[#This Row],[Coupon Frequency2]]</f>
        <v>7.6043001637547972E-2</v>
      </c>
      <c r="X572" s="25" cm="1">
        <f t="array" ref="X5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2" s="26">
        <f>DURATION(Table1[[#This Row],[Issue date]],Table1[[#This Row],[Maturity date]],Table1[[#This Row],[Current coupon %]],Table1[[#This Row],[Yield (Annualised)]],Table1[[#This Row],[Coupon Frequency2]])</f>
        <v>4.0784156248892067</v>
      </c>
      <c r="Z572" s="26">
        <f>Table1[[#This Row],[Macaulay Duration in Years]]/(1+Table1[[#This Row],[IRR]])</f>
        <v>3.7901976209896597</v>
      </c>
      <c r="AA572" s="27">
        <f>VLOOKUP(Table1[[#This Row],[Yield Cluster]],'[1]Cluster Details'!$B$3:$C$16,2,0)</f>
        <v>7.8548801574189142E-2</v>
      </c>
      <c r="AB572" s="28">
        <f>PRICE(Table1[[#This Row],[Issue date]],Table1[[#This Row],[Maturity date]],Table1[[#This Row],[Current coupon %]],Table1[[#This Row],[Average Cluster Yield]],100,Table1[[#This Row],[Coupon Frequency2]])*Table1[[#This Row],[Face value]]/100</f>
        <v>1009.7223954907982</v>
      </c>
      <c r="AC572" s="27" t="str">
        <f>IF(Table1[[#This Row],[Ask Price]]&gt;Table1[[#This Row],[Calculated Bond Price]],"Rich","Cheap")</f>
        <v>Rich</v>
      </c>
      <c r="AD572" s="28">
        <f>PRICE(Table1[[#This Row],[Issue date]],Table1[[#This Row],[Maturity date]],Table1[[#This Row],[Current coupon %]],Table1[[#This Row],[Yield (Annualised)]]+$AE$2,100,Table1[[#This Row],[Coupon Frequency2]])*Table1[[#This Row],[Face value]]/100</f>
        <v>979.65723419357698</v>
      </c>
      <c r="AE572" s="28">
        <f>PRICE(Table1[[#This Row],[Issue date]],Table1[[#This Row],[Maturity date]],Table1[[#This Row],[Current coupon %]],Table1[[#This Row],[Yield (Annualised)]]-$AE$2,100,Table1[[#This Row],[Coupon Frequency2]])*Table1[[#This Row],[Face value]]/100</f>
        <v>1062.6566302366591</v>
      </c>
      <c r="AF572" s="28">
        <f>(Table1[[#This Row],[P (+ shock)]]+Table1[[#This Row],[P (-shock)]]-2*Table1[[#This Row],[Ask Price]])/(2*Table1[[#This Row],[Ask Price]]*($AE$2^2))</f>
        <v>11.342472697236314</v>
      </c>
    </row>
    <row r="573" spans="1:32" x14ac:dyDescent="0.25">
      <c r="A573" s="21" t="s">
        <v>1190</v>
      </c>
      <c r="B573" s="3" t="s">
        <v>1191</v>
      </c>
      <c r="C573" s="3" t="s">
        <v>19</v>
      </c>
      <c r="D573" s="4">
        <v>42643</v>
      </c>
      <c r="E573" s="4">
        <v>46295</v>
      </c>
      <c r="F573" s="3">
        <v>1000000</v>
      </c>
      <c r="G573" s="3" t="s">
        <v>20</v>
      </c>
      <c r="H573" s="3">
        <v>1008000</v>
      </c>
      <c r="I573" s="3" t="s">
        <v>20</v>
      </c>
      <c r="J573" s="3">
        <v>100.8</v>
      </c>
      <c r="K573" s="3">
        <v>1</v>
      </c>
      <c r="L573" s="5">
        <v>0.08</v>
      </c>
      <c r="M573" s="3" t="s">
        <v>21</v>
      </c>
      <c r="N573" s="3">
        <v>378</v>
      </c>
      <c r="O573" s="6">
        <f>Table1[[#This Row],[Current coupon %]]*Table1[[#This Row],[Face value]]/Table1[[#This Row],[Ask Price]]</f>
        <v>7.9365079365079361E-2</v>
      </c>
      <c r="P573" s="3"/>
      <c r="Q573" s="3" t="s">
        <v>22</v>
      </c>
      <c r="R573">
        <f t="shared" si="8"/>
        <v>10</v>
      </c>
      <c r="S573" s="22" cm="1">
        <f t="array" ref="S573">_xlfn.IFS(Table1[[#This Row],[Coupon frequency]]="Semi-annual",2,Table1[[#This Row],[Coupon frequency]]="Quarterly",4,Table1[[#This Row],[Coupon frequency]]="Annual",1,Table1[[#This Row],[Coupon frequency]]="Every 4 months",3,Table1[[#This Row],[Coupon frequency]]="Monthly",12)</f>
        <v>1</v>
      </c>
      <c r="T573">
        <f>Table1[[#This Row],[Term to Maturity (Years)]]*Table1[[#This Row],[Coupon Frequency2]]</f>
        <v>10</v>
      </c>
      <c r="U573">
        <f>Table1[[#This Row],[Face value]]*Table1[[#This Row],[Current coupon %]]/Table1[[#This Row],[Coupon Frequency2]]</f>
        <v>80000</v>
      </c>
      <c r="V573" s="23">
        <f>RATE(Table1[[#This Row],[Total No. of Coupons]],Table1[[#This Row],[Coupon Amount]],-Table1[[#This Row],[Ask Price]],Table1[[#This Row],[Face value]])</f>
        <v>7.8814133342893999E-2</v>
      </c>
      <c r="W573" s="24">
        <f>Table1[[#This Row],[IRR]]*Table1[[#This Row],[Coupon Frequency2]]</f>
        <v>7.8814133342893999E-2</v>
      </c>
      <c r="X573" s="25" cm="1">
        <f t="array" ref="X57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3" s="26">
        <f>DURATION(Table1[[#This Row],[Issue date]],Table1[[#This Row],[Maturity date]],Table1[[#This Row],[Current coupon %]],Table1[[#This Row],[Yield (Annualised)]],Table1[[#This Row],[Coupon Frequency2]])</f>
        <v>7.25878139770112</v>
      </c>
      <c r="Z573" s="26">
        <f>Table1[[#This Row],[Macaulay Duration in Years]]/(1+Table1[[#This Row],[IRR]])</f>
        <v>6.7284819259908266</v>
      </c>
      <c r="AA573" s="27">
        <f>VLOOKUP(Table1[[#This Row],[Yield Cluster]],'[1]Cluster Details'!$B$3:$C$16,2,0)</f>
        <v>7.8548801574189142E-2</v>
      </c>
      <c r="AB573" s="28">
        <f>PRICE(Table1[[#This Row],[Issue date]],Table1[[#This Row],[Maturity date]],Table1[[#This Row],[Current coupon %]],Table1[[#This Row],[Average Cluster Yield]],100,Table1[[#This Row],[Coupon Frequency2]])*Table1[[#This Row],[Face value]]/100</f>
        <v>1009801.7215338874</v>
      </c>
      <c r="AC573" s="27" t="str">
        <f>IF(Table1[[#This Row],[Ask Price]]&gt;Table1[[#This Row],[Calculated Bond Price]],"Rich","Cheap")</f>
        <v>Cheap</v>
      </c>
      <c r="AD573" s="28">
        <f>PRICE(Table1[[#This Row],[Issue date]],Table1[[#This Row],[Maturity date]],Table1[[#This Row],[Current coupon %]],Table1[[#This Row],[Yield (Annualised)]]+$AE$2,100,Table1[[#This Row],[Coupon Frequency2]])*Table1[[#This Row],[Face value]]/100</f>
        <v>943137.44778484583</v>
      </c>
      <c r="AE573" s="28">
        <f>PRICE(Table1[[#This Row],[Issue date]],Table1[[#This Row],[Maturity date]],Table1[[#This Row],[Current coupon %]],Table1[[#This Row],[Yield (Annualised)]]-$AE$2,100,Table1[[#This Row],[Coupon Frequency2]])*Table1[[#This Row],[Face value]]/100</f>
        <v>1078997.327066432</v>
      </c>
      <c r="AF573" s="28">
        <f>(Table1[[#This Row],[P (+ shock)]]+Table1[[#This Row],[P (-shock)]]-2*Table1[[#This Row],[Ask Price]])/(2*Table1[[#This Row],[Ask Price]]*($AE$2^2))</f>
        <v>30.430430809910394</v>
      </c>
    </row>
    <row r="574" spans="1:32" x14ac:dyDescent="0.25">
      <c r="A574" s="21" t="s">
        <v>1192</v>
      </c>
      <c r="B574" s="3" t="s">
        <v>1193</v>
      </c>
      <c r="C574" s="3" t="s">
        <v>19</v>
      </c>
      <c r="D574" s="4">
        <v>45316</v>
      </c>
      <c r="E574" s="4">
        <v>46047</v>
      </c>
      <c r="F574" s="3">
        <v>1000</v>
      </c>
      <c r="G574" s="3" t="s">
        <v>20</v>
      </c>
      <c r="H574" s="3">
        <v>1040</v>
      </c>
      <c r="I574" s="3" t="s">
        <v>20</v>
      </c>
      <c r="J574" s="3">
        <v>104</v>
      </c>
      <c r="K574" s="3">
        <v>4</v>
      </c>
      <c r="L574" s="5">
        <v>8.2500000000000004E-2</v>
      </c>
      <c r="M574" s="3" t="s">
        <v>21</v>
      </c>
      <c r="N574" s="3">
        <v>130</v>
      </c>
      <c r="O574" s="6">
        <f>Table1[[#This Row],[Current coupon %]]*Table1[[#This Row],[Face value]]/Table1[[#This Row],[Ask Price]]</f>
        <v>7.9326923076923073E-2</v>
      </c>
      <c r="P574" s="3" t="s">
        <v>97</v>
      </c>
      <c r="Q574" s="3" t="s">
        <v>22</v>
      </c>
      <c r="R574">
        <f t="shared" si="8"/>
        <v>2</v>
      </c>
      <c r="S574" s="22" cm="1">
        <f t="array" ref="S574">_xlfn.IFS(Table1[[#This Row],[Coupon frequency]]="Semi-annual",2,Table1[[#This Row],[Coupon frequency]]="Quarterly",4,Table1[[#This Row],[Coupon frequency]]="Annual",1,Table1[[#This Row],[Coupon frequency]]="Every 4 months",3,Table1[[#This Row],[Coupon frequency]]="Monthly",12)</f>
        <v>1</v>
      </c>
      <c r="T574">
        <f>Table1[[#This Row],[Term to Maturity (Years)]]*Table1[[#This Row],[Coupon Frequency2]]</f>
        <v>2</v>
      </c>
      <c r="U574">
        <f>Table1[[#This Row],[Face value]]*Table1[[#This Row],[Current coupon %]]/Table1[[#This Row],[Coupon Frequency2]]</f>
        <v>82.5</v>
      </c>
      <c r="V574" s="23">
        <f>RATE(Table1[[#This Row],[Total No. of Coupons]],Table1[[#This Row],[Coupon Amount]],-Table1[[#This Row],[Ask Price]],Table1[[#This Row],[Face value]])</f>
        <v>6.0662273876984446E-2</v>
      </c>
      <c r="W574" s="24">
        <f>Table1[[#This Row],[IRR]]*Table1[[#This Row],[Coupon Frequency2]]</f>
        <v>6.0662273876984446E-2</v>
      </c>
      <c r="X574" s="25" cm="1">
        <f t="array" ref="X57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4" s="26">
        <f>DURATION(Table1[[#This Row],[Issue date]],Table1[[#This Row],[Maturity date]],Table1[[#This Row],[Current coupon %]],Table1[[#This Row],[Yield (Annualised)]],Table1[[#This Row],[Coupon Frequency2]])</f>
        <v>1.9252100079066932</v>
      </c>
      <c r="Z574" s="26">
        <f>Table1[[#This Row],[Macaulay Duration in Years]]/(1+Table1[[#This Row],[IRR]])</f>
        <v>1.8151018050916168</v>
      </c>
      <c r="AA574" s="27">
        <f>VLOOKUP(Table1[[#This Row],[Yield Cluster]],'[1]Cluster Details'!$B$3:$C$16,2,0)</f>
        <v>7.8548801574189142E-2</v>
      </c>
      <c r="AB574" s="28">
        <f>PRICE(Table1[[#This Row],[Issue date]],Table1[[#This Row],[Maturity date]],Table1[[#This Row],[Current coupon %]],Table1[[#This Row],[Average Cluster Yield]],100,Table1[[#This Row],[Coupon Frequency2]])*Table1[[#This Row],[Face value]]/100</f>
        <v>1007.060077437105</v>
      </c>
      <c r="AC574" s="27" t="str">
        <f>IF(Table1[[#This Row],[Ask Price]]&gt;Table1[[#This Row],[Calculated Bond Price]],"Rich","Cheap")</f>
        <v>Rich</v>
      </c>
      <c r="AD574" s="28">
        <f>PRICE(Table1[[#This Row],[Issue date]],Table1[[#This Row],[Maturity date]],Table1[[#This Row],[Current coupon %]],Table1[[#This Row],[Yield (Annualised)]]+$AE$2,100,Table1[[#This Row],[Coupon Frequency2]])*Table1[[#This Row],[Face value]]/100</f>
        <v>1021.3831931504172</v>
      </c>
      <c r="AE574" s="28">
        <f>PRICE(Table1[[#This Row],[Issue date]],Table1[[#This Row],[Maturity date]],Table1[[#This Row],[Current coupon %]],Table1[[#This Row],[Yield (Annualised)]]-$AE$2,100,Table1[[#This Row],[Coupon Frequency2]])*Table1[[#This Row],[Face value]]/100</f>
        <v>1059.1438930153301</v>
      </c>
      <c r="AF574" s="28">
        <f>(Table1[[#This Row],[P (+ shock)]]+Table1[[#This Row],[P (-shock)]]-2*Table1[[#This Row],[Ask Price]])/(2*Table1[[#This Row],[Ask Price]]*($AE$2^2))</f>
        <v>2.5340681045542204</v>
      </c>
    </row>
    <row r="575" spans="1:32" x14ac:dyDescent="0.25">
      <c r="A575" s="21" t="s">
        <v>1194</v>
      </c>
      <c r="B575" s="3" t="s">
        <v>1195</v>
      </c>
      <c r="C575" s="3" t="s">
        <v>19</v>
      </c>
      <c r="D575" s="4">
        <v>43252</v>
      </c>
      <c r="E575" s="4">
        <v>46905</v>
      </c>
      <c r="F575" s="3">
        <v>1000000</v>
      </c>
      <c r="G575" s="3" t="s">
        <v>20</v>
      </c>
      <c r="H575" s="3">
        <v>1157447.6000000001</v>
      </c>
      <c r="I575" s="3" t="s">
        <v>20</v>
      </c>
      <c r="J575" s="3">
        <v>115.74476</v>
      </c>
      <c r="K575" s="3">
        <v>1</v>
      </c>
      <c r="L575" s="5">
        <v>9.1799999999999993E-2</v>
      </c>
      <c r="M575" s="3" t="s">
        <v>21</v>
      </c>
      <c r="N575" s="3">
        <v>988</v>
      </c>
      <c r="O575" s="6">
        <f>Table1[[#This Row],[Current coupon %]]*Table1[[#This Row],[Face value]]/Table1[[#This Row],[Ask Price]]</f>
        <v>7.9312445764283396E-2</v>
      </c>
      <c r="P575" s="3"/>
      <c r="Q575" s="3" t="s">
        <v>22</v>
      </c>
      <c r="R575">
        <f t="shared" si="8"/>
        <v>10</v>
      </c>
      <c r="S575" s="22" cm="1">
        <f t="array" ref="S575">_xlfn.IFS(Table1[[#This Row],[Coupon frequency]]="Semi-annual",2,Table1[[#This Row],[Coupon frequency]]="Quarterly",4,Table1[[#This Row],[Coupon frequency]]="Annual",1,Table1[[#This Row],[Coupon frequency]]="Every 4 months",3,Table1[[#This Row],[Coupon frequency]]="Monthly",12)</f>
        <v>1</v>
      </c>
      <c r="T575">
        <f>Table1[[#This Row],[Term to Maturity (Years)]]*Table1[[#This Row],[Coupon Frequency2]]</f>
        <v>10</v>
      </c>
      <c r="U575">
        <f>Table1[[#This Row],[Face value]]*Table1[[#This Row],[Current coupon %]]/Table1[[#This Row],[Coupon Frequency2]]</f>
        <v>91799.999999999985</v>
      </c>
      <c r="V575" s="23">
        <f>RATE(Table1[[#This Row],[Total No. of Coupons]],Table1[[#This Row],[Coupon Amount]],-Table1[[#This Row],[Ask Price]],Table1[[#This Row],[Face value]])</f>
        <v>6.9440903768725457E-2</v>
      </c>
      <c r="W575" s="24">
        <f>Table1[[#This Row],[IRR]]*Table1[[#This Row],[Coupon Frequency2]]</f>
        <v>6.9440903768725457E-2</v>
      </c>
      <c r="X575" s="25" cm="1">
        <f t="array" ref="X57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5" s="26">
        <f>DURATION(Table1[[#This Row],[Issue date]],Table1[[#This Row],[Maturity date]],Table1[[#This Row],[Current coupon %]],Table1[[#This Row],[Yield (Annualised)]],Table1[[#This Row],[Coupon Frequency2]])</f>
        <v>7.1797348458697909</v>
      </c>
      <c r="Z575" s="26">
        <f>Table1[[#This Row],[Macaulay Duration in Years]]/(1+Table1[[#This Row],[IRR]])</f>
        <v>6.7135405243696029</v>
      </c>
      <c r="AA575" s="27">
        <f>VLOOKUP(Table1[[#This Row],[Yield Cluster]],'[1]Cluster Details'!$B$3:$C$16,2,0)</f>
        <v>7.8548801574189142E-2</v>
      </c>
      <c r="AB575" s="28">
        <f>PRICE(Table1[[#This Row],[Issue date]],Table1[[#This Row],[Maturity date]],Table1[[#This Row],[Current coupon %]],Table1[[#This Row],[Average Cluster Yield]],100,Table1[[#This Row],[Coupon Frequency2]])*Table1[[#This Row],[Face value]]/100</f>
        <v>1089501.5834154463</v>
      </c>
      <c r="AC575" s="27" t="str">
        <f>IF(Table1[[#This Row],[Ask Price]]&gt;Table1[[#This Row],[Calculated Bond Price]],"Rich","Cheap")</f>
        <v>Rich</v>
      </c>
      <c r="AD575" s="28">
        <f>PRICE(Table1[[#This Row],[Issue date]],Table1[[#This Row],[Maturity date]],Table1[[#This Row],[Current coupon %]],Table1[[#This Row],[Yield (Annualised)]]+$AE$2,100,Table1[[#This Row],[Coupon Frequency2]])*Table1[[#This Row],[Face value]]/100</f>
        <v>1083140.0826301929</v>
      </c>
      <c r="AE575" s="28">
        <f>PRICE(Table1[[#This Row],[Issue date]],Table1[[#This Row],[Maturity date]],Table1[[#This Row],[Current coupon %]],Table1[[#This Row],[Yield (Annualised)]]-$AE$2,100,Table1[[#This Row],[Coupon Frequency2]])*Table1[[#This Row],[Face value]]/100</f>
        <v>1238797.9042147531</v>
      </c>
      <c r="AF575" s="28">
        <f>(Table1[[#This Row],[P (+ shock)]]+Table1[[#This Row],[P (-shock)]]-2*Table1[[#This Row],[Ask Price]])/(2*Table1[[#This Row],[Ask Price]]*($AE$2^2))</f>
        <v>30.423782661718388</v>
      </c>
    </row>
    <row r="576" spans="1:32" x14ac:dyDescent="0.25">
      <c r="A576" s="21" t="s">
        <v>1196</v>
      </c>
      <c r="B576" s="3" t="s">
        <v>1197</v>
      </c>
      <c r="C576" s="3" t="s">
        <v>19</v>
      </c>
      <c r="D576" s="4">
        <v>44322</v>
      </c>
      <c r="E576" s="4">
        <v>47974</v>
      </c>
      <c r="F576" s="3">
        <v>1000</v>
      </c>
      <c r="G576" s="3" t="s">
        <v>20</v>
      </c>
      <c r="H576" s="3">
        <v>1005</v>
      </c>
      <c r="I576" s="3" t="s">
        <v>20</v>
      </c>
      <c r="J576" s="3">
        <v>100.49999999999901</v>
      </c>
      <c r="K576" s="3">
        <v>219</v>
      </c>
      <c r="L576" s="5">
        <v>7.9699999999999993E-2</v>
      </c>
      <c r="M576" s="3" t="s">
        <v>44</v>
      </c>
      <c r="N576" s="3">
        <v>2057</v>
      </c>
      <c r="O576" s="6">
        <f>Table1[[#This Row],[Current coupon %]]*Table1[[#This Row],[Face value]]/Table1[[#This Row],[Ask Price]]</f>
        <v>7.9303482587064669E-2</v>
      </c>
      <c r="P576" s="3"/>
      <c r="Q576" s="3" t="s">
        <v>22</v>
      </c>
      <c r="R576">
        <f t="shared" si="8"/>
        <v>10</v>
      </c>
      <c r="S576" s="22" cm="1">
        <f t="array" ref="S576">_xlfn.IFS(Table1[[#This Row],[Coupon frequency]]="Semi-annual",2,Table1[[#This Row],[Coupon frequency]]="Quarterly",4,Table1[[#This Row],[Coupon frequency]]="Annual",1,Table1[[#This Row],[Coupon frequency]]="Every 4 months",3,Table1[[#This Row],[Coupon frequency]]="Monthly",12)</f>
        <v>4</v>
      </c>
      <c r="T576">
        <f>Table1[[#This Row],[Term to Maturity (Years)]]*Table1[[#This Row],[Coupon Frequency2]]</f>
        <v>40</v>
      </c>
      <c r="U576">
        <f>Table1[[#This Row],[Face value]]*Table1[[#This Row],[Current coupon %]]/Table1[[#This Row],[Coupon Frequency2]]</f>
        <v>19.924999999999997</v>
      </c>
      <c r="V576" s="23">
        <f>RATE(Table1[[#This Row],[Total No. of Coupons]],Table1[[#This Row],[Coupon Amount]],-Table1[[#This Row],[Ask Price]],Table1[[#This Row],[Face value]])</f>
        <v>1.974304393712038E-2</v>
      </c>
      <c r="W576" s="24">
        <f>Table1[[#This Row],[IRR]]*Table1[[#This Row],[Coupon Frequency2]]</f>
        <v>7.8972175748481518E-2</v>
      </c>
      <c r="X576" s="25" cm="1">
        <f t="array" ref="X57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6" s="26">
        <f>DURATION(Table1[[#This Row],[Issue date]],Table1[[#This Row],[Maturity date]],Table1[[#This Row],[Current coupon %]],Table1[[#This Row],[Yield (Annualised)]],Table1[[#This Row],[Coupon Frequency2]])</f>
        <v>6.9928579321102564</v>
      </c>
      <c r="Z576" s="26">
        <f>Table1[[#This Row],[Macaulay Duration in Years]]/(1+Table1[[#This Row],[IRR]])</f>
        <v>6.8574705889746195</v>
      </c>
      <c r="AA576" s="27">
        <f>VLOOKUP(Table1[[#This Row],[Yield Cluster]],'[1]Cluster Details'!$B$3:$C$16,2,0)</f>
        <v>7.8548801574189142E-2</v>
      </c>
      <c r="AB576" s="28">
        <f>PRICE(Table1[[#This Row],[Issue date]],Table1[[#This Row],[Maturity date]],Table1[[#This Row],[Current coupon %]],Table1[[#This Row],[Average Cluster Yield]],100,Table1[[#This Row],[Coupon Frequency2]])*Table1[[#This Row],[Face value]]/100</f>
        <v>1007.923222400138</v>
      </c>
      <c r="AC576" s="27" t="str">
        <f>IF(Table1[[#This Row],[Ask Price]]&gt;Table1[[#This Row],[Calculated Bond Price]],"Rich","Cheap")</f>
        <v>Cheap</v>
      </c>
      <c r="AD576" s="28">
        <f>PRICE(Table1[[#This Row],[Issue date]],Table1[[#This Row],[Maturity date]],Table1[[#This Row],[Current coupon %]],Table1[[#This Row],[Yield (Annualised)]]+$AE$2,100,Table1[[#This Row],[Coupon Frequency2]])*Table1[[#This Row],[Face value]]/100</f>
        <v>939.01324539224083</v>
      </c>
      <c r="AE576" s="28">
        <f>PRICE(Table1[[#This Row],[Issue date]],Table1[[#This Row],[Maturity date]],Table1[[#This Row],[Current coupon %]],Table1[[#This Row],[Yield (Annualised)]]-$AE$2,100,Table1[[#This Row],[Coupon Frequency2]])*Table1[[#This Row],[Face value]]/100</f>
        <v>1077.042245456272</v>
      </c>
      <c r="AF576" s="28">
        <f>(Table1[[#This Row],[P (+ shock)]]+Table1[[#This Row],[P (-shock)]]-2*Table1[[#This Row],[Ask Price]])/(2*Table1[[#This Row],[Ask Price]]*($AE$2^2))</f>
        <v>30.126820141854814</v>
      </c>
    </row>
    <row r="577" spans="1:32" x14ac:dyDescent="0.25">
      <c r="A577" s="21" t="s">
        <v>1198</v>
      </c>
      <c r="B577" s="3" t="s">
        <v>1199</v>
      </c>
      <c r="C577" s="3" t="s">
        <v>19</v>
      </c>
      <c r="D577" s="4">
        <v>44874</v>
      </c>
      <c r="E577" s="4">
        <v>47431</v>
      </c>
      <c r="F577" s="3">
        <v>1000000</v>
      </c>
      <c r="G577" s="3" t="s">
        <v>20</v>
      </c>
      <c r="H577" s="3">
        <v>1082898.3</v>
      </c>
      <c r="I577" s="3" t="s">
        <v>20</v>
      </c>
      <c r="J577" s="3">
        <v>108.28982999999999</v>
      </c>
      <c r="K577" s="3">
        <v>1</v>
      </c>
      <c r="L577" s="5">
        <v>8.5800000000000001E-2</v>
      </c>
      <c r="M577" s="3" t="s">
        <v>21</v>
      </c>
      <c r="N577" s="3">
        <v>1514</v>
      </c>
      <c r="O577" s="6">
        <f>Table1[[#This Row],[Current coupon %]]*Table1[[#This Row],[Face value]]/Table1[[#This Row],[Ask Price]]</f>
        <v>7.9231817059829165E-2</v>
      </c>
      <c r="P577" s="3"/>
      <c r="Q577" s="3" t="s">
        <v>22</v>
      </c>
      <c r="R577">
        <f t="shared" si="8"/>
        <v>7</v>
      </c>
      <c r="S577" s="22" cm="1">
        <f t="array" ref="S577">_xlfn.IFS(Table1[[#This Row],[Coupon frequency]]="Semi-annual",2,Table1[[#This Row],[Coupon frequency]]="Quarterly",4,Table1[[#This Row],[Coupon frequency]]="Annual",1,Table1[[#This Row],[Coupon frequency]]="Every 4 months",3,Table1[[#This Row],[Coupon frequency]]="Monthly",12)</f>
        <v>1</v>
      </c>
      <c r="T577">
        <f>Table1[[#This Row],[Term to Maturity (Years)]]*Table1[[#This Row],[Coupon Frequency2]]</f>
        <v>7</v>
      </c>
      <c r="U577">
        <f>Table1[[#This Row],[Face value]]*Table1[[#This Row],[Current coupon %]]/Table1[[#This Row],[Coupon Frequency2]]</f>
        <v>85800</v>
      </c>
      <c r="V577" s="23">
        <f>RATE(Table1[[#This Row],[Total No. of Coupons]],Table1[[#This Row],[Coupon Amount]],-Table1[[#This Row],[Ask Price]],Table1[[#This Row],[Face value]])</f>
        <v>7.0396674423390468E-2</v>
      </c>
      <c r="W577" s="24">
        <f>Table1[[#This Row],[IRR]]*Table1[[#This Row],[Coupon Frequency2]]</f>
        <v>7.0396674423390468E-2</v>
      </c>
      <c r="X577" s="25" cm="1">
        <f t="array" ref="X57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7" s="26">
        <f>DURATION(Table1[[#This Row],[Issue date]],Table1[[#This Row],[Maturity date]],Table1[[#This Row],[Current coupon %]],Table1[[#This Row],[Yield (Annualised)]],Table1[[#This Row],[Coupon Frequency2]])</f>
        <v>5.6051707911817745</v>
      </c>
      <c r="Z577" s="26">
        <f>Table1[[#This Row],[Macaulay Duration in Years]]/(1+Table1[[#This Row],[IRR]])</f>
        <v>5.2365360665953222</v>
      </c>
      <c r="AA577" s="27">
        <f>VLOOKUP(Table1[[#This Row],[Yield Cluster]],'[1]Cluster Details'!$B$3:$C$16,2,0)</f>
        <v>7.8548801574189142E-2</v>
      </c>
      <c r="AB577" s="28">
        <f>PRICE(Table1[[#This Row],[Issue date]],Table1[[#This Row],[Maturity date]],Table1[[#This Row],[Current coupon %]],Table1[[#This Row],[Average Cluster Yield]],100,Table1[[#This Row],[Coupon Frequency2]])*Table1[[#This Row],[Face value]]/100</f>
        <v>1037940.5222468841</v>
      </c>
      <c r="AC577" s="27" t="str">
        <f>IF(Table1[[#This Row],[Ask Price]]&gt;Table1[[#This Row],[Calculated Bond Price]],"Rich","Cheap")</f>
        <v>Rich</v>
      </c>
      <c r="AD577" s="28">
        <f>PRICE(Table1[[#This Row],[Issue date]],Table1[[#This Row],[Maturity date]],Table1[[#This Row],[Current coupon %]],Table1[[#This Row],[Yield (Annualised)]]+$AE$2,100,Table1[[#This Row],[Coupon Frequency2]])*Table1[[#This Row],[Face value]]/100</f>
        <v>1028093.5879443779</v>
      </c>
      <c r="AE577" s="28">
        <f>PRICE(Table1[[#This Row],[Issue date]],Table1[[#This Row],[Maturity date]],Table1[[#This Row],[Current coupon %]],Table1[[#This Row],[Yield (Annualised)]]-$AE$2,100,Table1[[#This Row],[Coupon Frequency2]])*Table1[[#This Row],[Face value]]/100</f>
        <v>1141611.3301250129</v>
      </c>
      <c r="AF577" s="28">
        <f>(Table1[[#This Row],[P (+ shock)]]+Table1[[#This Row],[P (-shock)]]-2*Table1[[#This Row],[Ask Price]])/(2*Table1[[#This Row],[Ask Price]]*($AE$2^2))</f>
        <v>18.045637662329355</v>
      </c>
    </row>
    <row r="578" spans="1:32" x14ac:dyDescent="0.25">
      <c r="A578" s="21" t="s">
        <v>1200</v>
      </c>
      <c r="B578" s="3" t="s">
        <v>1201</v>
      </c>
      <c r="C578" s="3" t="s">
        <v>19</v>
      </c>
      <c r="D578" s="4">
        <v>42901</v>
      </c>
      <c r="E578" s="4">
        <v>46553</v>
      </c>
      <c r="F578" s="3">
        <v>1000000</v>
      </c>
      <c r="G578" s="3" t="s">
        <v>20</v>
      </c>
      <c r="H578" s="3">
        <v>1073000</v>
      </c>
      <c r="I578" s="3" t="s">
        <v>20</v>
      </c>
      <c r="J578" s="3">
        <v>107.3</v>
      </c>
      <c r="K578" s="3">
        <v>1</v>
      </c>
      <c r="L578" s="5">
        <v>8.5000000000000006E-2</v>
      </c>
      <c r="M578" s="3" t="s">
        <v>21</v>
      </c>
      <c r="N578" s="3">
        <v>636</v>
      </c>
      <c r="O578" s="6">
        <f>Table1[[#This Row],[Current coupon %]]*Table1[[#This Row],[Face value]]/Table1[[#This Row],[Ask Price]]</f>
        <v>7.9217148182665426E-2</v>
      </c>
      <c r="P578" s="3"/>
      <c r="Q578" s="3" t="s">
        <v>22</v>
      </c>
      <c r="R578">
        <f t="shared" si="8"/>
        <v>10</v>
      </c>
      <c r="S578" s="22" cm="1">
        <f t="array" ref="S578">_xlfn.IFS(Table1[[#This Row],[Coupon frequency]]="Semi-annual",2,Table1[[#This Row],[Coupon frequency]]="Quarterly",4,Table1[[#This Row],[Coupon frequency]]="Annual",1,Table1[[#This Row],[Coupon frequency]]="Every 4 months",3,Table1[[#This Row],[Coupon frequency]]="Monthly",12)</f>
        <v>1</v>
      </c>
      <c r="T578">
        <f>Table1[[#This Row],[Term to Maturity (Years)]]*Table1[[#This Row],[Coupon Frequency2]]</f>
        <v>10</v>
      </c>
      <c r="U578">
        <f>Table1[[#This Row],[Face value]]*Table1[[#This Row],[Current coupon %]]/Table1[[#This Row],[Coupon Frequency2]]</f>
        <v>85000</v>
      </c>
      <c r="V578" s="23">
        <f>RATE(Table1[[#This Row],[Total No. of Coupons]],Table1[[#This Row],[Coupon Amount]],-Table1[[#This Row],[Ask Price]],Table1[[#This Row],[Face value]])</f>
        <v>7.4394320658097243E-2</v>
      </c>
      <c r="W578" s="24">
        <f>Table1[[#This Row],[IRR]]*Table1[[#This Row],[Coupon Frequency2]]</f>
        <v>7.4394320658097243E-2</v>
      </c>
      <c r="X578" s="25" cm="1">
        <f t="array" ref="X57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8" s="26">
        <f>DURATION(Table1[[#This Row],[Issue date]],Table1[[#This Row],[Maturity date]],Table1[[#This Row],[Current coupon %]],Table1[[#This Row],[Yield (Annualised)]],Table1[[#This Row],[Coupon Frequency2]])</f>
        <v>7.2263027075652699</v>
      </c>
      <c r="Z578" s="26">
        <f>Table1[[#This Row],[Macaulay Duration in Years]]/(1+Table1[[#This Row],[IRR]])</f>
        <v>6.7259315957096204</v>
      </c>
      <c r="AA578" s="27">
        <f>VLOOKUP(Table1[[#This Row],[Yield Cluster]],'[1]Cluster Details'!$B$3:$C$16,2,0)</f>
        <v>7.8548801574189142E-2</v>
      </c>
      <c r="AB578" s="28">
        <f>PRICE(Table1[[#This Row],[Issue date]],Table1[[#This Row],[Maturity date]],Table1[[#This Row],[Current coupon %]],Table1[[#This Row],[Average Cluster Yield]],100,Table1[[#This Row],[Coupon Frequency2]])*Table1[[#This Row],[Face value]]/100</f>
        <v>1043572.8494498022</v>
      </c>
      <c r="AC578" s="27" t="str">
        <f>IF(Table1[[#This Row],[Ask Price]]&gt;Table1[[#This Row],[Calculated Bond Price]],"Rich","Cheap")</f>
        <v>Rich</v>
      </c>
      <c r="AD578" s="28">
        <f>PRICE(Table1[[#This Row],[Issue date]],Table1[[#This Row],[Maturity date]],Table1[[#This Row],[Current coupon %]],Table1[[#This Row],[Yield (Annualised)]]+$AE$2,100,Table1[[#This Row],[Coupon Frequency2]])*Table1[[#This Row],[Face value]]/100</f>
        <v>1003984.8202471419</v>
      </c>
      <c r="AE578" s="28">
        <f>PRICE(Table1[[#This Row],[Issue date]],Table1[[#This Row],[Maturity date]],Table1[[#This Row],[Current coupon %]],Table1[[#This Row],[Yield (Annualised)]]-$AE$2,100,Table1[[#This Row],[Coupon Frequency2]])*Table1[[#This Row],[Face value]]/100</f>
        <v>1148551.5027126248</v>
      </c>
      <c r="AF578" s="28">
        <f>(Table1[[#This Row],[P (+ shock)]]+Table1[[#This Row],[P (-shock)]]-2*Table1[[#This Row],[Ask Price]])/(2*Table1[[#This Row],[Ask Price]]*($AE$2^2))</f>
        <v>30.458168498446984</v>
      </c>
    </row>
    <row r="579" spans="1:32" x14ac:dyDescent="0.25">
      <c r="A579" s="21" t="s">
        <v>1202</v>
      </c>
      <c r="B579" s="3" t="s">
        <v>1203</v>
      </c>
      <c r="C579" s="3" t="s">
        <v>19</v>
      </c>
      <c r="D579" s="4">
        <v>43844</v>
      </c>
      <c r="E579" s="4">
        <v>47497</v>
      </c>
      <c r="F579" s="3">
        <v>1000</v>
      </c>
      <c r="G579" s="3" t="s">
        <v>20</v>
      </c>
      <c r="H579" s="3">
        <v>1080</v>
      </c>
      <c r="I579" s="3" t="s">
        <v>20</v>
      </c>
      <c r="J579" s="3">
        <v>108</v>
      </c>
      <c r="K579" s="3">
        <v>10</v>
      </c>
      <c r="L579" s="5">
        <v>8.5500000000000007E-2</v>
      </c>
      <c r="M579" s="3" t="s">
        <v>21</v>
      </c>
      <c r="N579" s="3">
        <v>1580</v>
      </c>
      <c r="O579" s="6">
        <f>Table1[[#This Row],[Current coupon %]]*Table1[[#This Row],[Face value]]/Table1[[#This Row],[Ask Price]]</f>
        <v>7.9166666666666663E-2</v>
      </c>
      <c r="P579" s="3"/>
      <c r="Q579" s="3" t="s">
        <v>22</v>
      </c>
      <c r="R579">
        <f t="shared" si="8"/>
        <v>10</v>
      </c>
      <c r="S579" s="22" cm="1">
        <f t="array" ref="S579">_xlfn.IFS(Table1[[#This Row],[Coupon frequency]]="Semi-annual",2,Table1[[#This Row],[Coupon frequency]]="Quarterly",4,Table1[[#This Row],[Coupon frequency]]="Annual",1,Table1[[#This Row],[Coupon frequency]]="Every 4 months",3,Table1[[#This Row],[Coupon frequency]]="Monthly",12)</f>
        <v>1</v>
      </c>
      <c r="T579">
        <f>Table1[[#This Row],[Term to Maturity (Years)]]*Table1[[#This Row],[Coupon Frequency2]]</f>
        <v>10</v>
      </c>
      <c r="U579">
        <f>Table1[[#This Row],[Face value]]*Table1[[#This Row],[Current coupon %]]/Table1[[#This Row],[Coupon Frequency2]]</f>
        <v>85.5</v>
      </c>
      <c r="V579" s="23">
        <f>RATE(Table1[[#This Row],[Total No. of Coupons]],Table1[[#This Row],[Coupon Amount]],-Table1[[#This Row],[Ask Price]],Table1[[#This Row],[Face value]])</f>
        <v>7.3903415264917893E-2</v>
      </c>
      <c r="W579" s="24">
        <f>Table1[[#This Row],[IRR]]*Table1[[#This Row],[Coupon Frequency2]]</f>
        <v>7.3903415264917893E-2</v>
      </c>
      <c r="X579" s="25" cm="1">
        <f t="array" ref="X57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79" s="26">
        <f>DURATION(Table1[[#This Row],[Issue date]],Table1[[#This Row],[Maturity date]],Table1[[#This Row],[Current coupon %]],Table1[[#This Row],[Yield (Annualised)]],Table1[[#This Row],[Coupon Frequency2]])</f>
        <v>7.2238439604958851</v>
      </c>
      <c r="Z579" s="26">
        <f>Table1[[#This Row],[Macaulay Duration in Years]]/(1+Table1[[#This Row],[IRR]])</f>
        <v>6.726716628155855</v>
      </c>
      <c r="AA579" s="27">
        <f>VLOOKUP(Table1[[#This Row],[Yield Cluster]],'[1]Cluster Details'!$B$3:$C$16,2,0)</f>
        <v>7.8548801574189142E-2</v>
      </c>
      <c r="AB579" s="28">
        <f>PRICE(Table1[[#This Row],[Issue date]],Table1[[#This Row],[Maturity date]],Table1[[#This Row],[Current coupon %]],Table1[[#This Row],[Average Cluster Yield]],100,Table1[[#This Row],[Coupon Frequency2]])*Table1[[#This Row],[Face value]]/100</f>
        <v>1046.9499622413939</v>
      </c>
      <c r="AC579" s="27" t="str">
        <f>IF(Table1[[#This Row],[Ask Price]]&gt;Table1[[#This Row],[Calculated Bond Price]],"Rich","Cheap")</f>
        <v>Rich</v>
      </c>
      <c r="AD579" s="28">
        <f>PRICE(Table1[[#This Row],[Issue date]],Table1[[#This Row],[Maturity date]],Table1[[#This Row],[Current coupon %]],Table1[[#This Row],[Yield (Annualised)]]+$AE$2,100,Table1[[#This Row],[Coupon Frequency2]])*Table1[[#This Row],[Face value]]/100</f>
        <v>1010.5271269289435</v>
      </c>
      <c r="AE579" s="28">
        <f>PRICE(Table1[[#This Row],[Issue date]],Table1[[#This Row],[Maturity date]],Table1[[#This Row],[Current coupon %]],Table1[[#This Row],[Yield (Annualised)]]-$AE$2,100,Table1[[#This Row],[Coupon Frequency2]])*Table1[[#This Row],[Face value]]/100</f>
        <v>1156.0540293127485</v>
      </c>
      <c r="AF579" s="28">
        <f>(Table1[[#This Row],[P (+ shock)]]+Table1[[#This Row],[P (-shock)]]-2*Table1[[#This Row],[Ask Price]])/(2*Table1[[#This Row],[Ask Price]]*($AE$2^2))</f>
        <v>30.468315933759456</v>
      </c>
    </row>
    <row r="580" spans="1:32" x14ac:dyDescent="0.25">
      <c r="A580" s="21" t="s">
        <v>1204</v>
      </c>
      <c r="B580" s="3" t="s">
        <v>1205</v>
      </c>
      <c r="C580" s="3" t="s">
        <v>19</v>
      </c>
      <c r="D580" s="4">
        <v>45593</v>
      </c>
      <c r="E580" s="4">
        <v>49244</v>
      </c>
      <c r="F580" s="3">
        <v>100000</v>
      </c>
      <c r="G580" s="3" t="s">
        <v>20</v>
      </c>
      <c r="H580" s="3">
        <v>104500.86</v>
      </c>
      <c r="I580" s="3" t="s">
        <v>20</v>
      </c>
      <c r="J580" s="3">
        <v>104.50086</v>
      </c>
      <c r="K580" s="3">
        <v>10</v>
      </c>
      <c r="L580" s="5">
        <v>8.2699999999999996E-2</v>
      </c>
      <c r="M580" s="3" t="s">
        <v>21</v>
      </c>
      <c r="N580" s="3">
        <v>3327</v>
      </c>
      <c r="O580" s="6">
        <f>Table1[[#This Row],[Current coupon %]]*Table1[[#This Row],[Face value]]/Table1[[#This Row],[Ask Price]]</f>
        <v>7.9138104700765141E-2</v>
      </c>
      <c r="P580" s="3"/>
      <c r="Q580" s="3" t="s">
        <v>22</v>
      </c>
      <c r="R580">
        <f t="shared" ref="R580:R643" si="9">ROUND(YEARFRAC(D580,E580),0)</f>
        <v>10</v>
      </c>
      <c r="S580" s="22" cm="1">
        <f t="array" ref="S580">_xlfn.IFS(Table1[[#This Row],[Coupon frequency]]="Semi-annual",2,Table1[[#This Row],[Coupon frequency]]="Quarterly",4,Table1[[#This Row],[Coupon frequency]]="Annual",1,Table1[[#This Row],[Coupon frequency]]="Every 4 months",3,Table1[[#This Row],[Coupon frequency]]="Monthly",12)</f>
        <v>1</v>
      </c>
      <c r="T580">
        <f>Table1[[#This Row],[Term to Maturity (Years)]]*Table1[[#This Row],[Coupon Frequency2]]</f>
        <v>10</v>
      </c>
      <c r="U580">
        <f>Table1[[#This Row],[Face value]]*Table1[[#This Row],[Current coupon %]]/Table1[[#This Row],[Coupon Frequency2]]</f>
        <v>8270</v>
      </c>
      <c r="V580" s="23">
        <f>RATE(Table1[[#This Row],[Total No. of Coupons]],Table1[[#This Row],[Coupon Amount]],-Table1[[#This Row],[Ask Price]],Table1[[#This Row],[Face value]])</f>
        <v>7.6109619051136002E-2</v>
      </c>
      <c r="W580" s="24">
        <f>Table1[[#This Row],[IRR]]*Table1[[#This Row],[Coupon Frequency2]]</f>
        <v>7.6109619051136002E-2</v>
      </c>
      <c r="X580" s="25" cm="1">
        <f t="array" ref="X58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0" s="26">
        <f>DURATION(Table1[[#This Row],[Issue date]],Table1[[#This Row],[Maturity date]],Table1[[#This Row],[Current coupon %]],Table1[[#This Row],[Yield (Annualised)]],Table1[[#This Row],[Coupon Frequency2]])</f>
        <v>7.240969169178344</v>
      </c>
      <c r="Z580" s="26">
        <f>Table1[[#This Row],[Macaulay Duration in Years]]/(1+Table1[[#This Row],[IRR]])</f>
        <v>6.7288397399171087</v>
      </c>
      <c r="AA580" s="27">
        <f>VLOOKUP(Table1[[#This Row],[Yield Cluster]],'[1]Cluster Details'!$B$3:$C$16,2,0)</f>
        <v>7.8548801574189142E-2</v>
      </c>
      <c r="AB580" s="28">
        <f>PRICE(Table1[[#This Row],[Issue date]],Table1[[#This Row],[Maturity date]],Table1[[#This Row],[Current coupon %]],Table1[[#This Row],[Average Cluster Yield]],100,Table1[[#This Row],[Coupon Frequency2]])*Table1[[#This Row],[Face value]]/100</f>
        <v>102802.43660070615</v>
      </c>
      <c r="AC580" s="27" t="str">
        <f>IF(Table1[[#This Row],[Ask Price]]&gt;Table1[[#This Row],[Calculated Bond Price]],"Rich","Cheap")</f>
        <v>Rich</v>
      </c>
      <c r="AD580" s="28">
        <f>PRICE(Table1[[#This Row],[Issue date]],Table1[[#This Row],[Maturity date]],Table1[[#This Row],[Current coupon %]],Table1[[#This Row],[Yield (Annualised)]]+$AE$2,100,Table1[[#This Row],[Coupon Frequency2]])*Table1[[#This Row],[Face value]]/100</f>
        <v>97773.313419633734</v>
      </c>
      <c r="AE580" s="28">
        <f>PRICE(Table1[[#This Row],[Issue date]],Table1[[#This Row],[Maturity date]],Table1[[#This Row],[Current coupon %]],Table1[[#This Row],[Yield (Annualised)]]-$AE$2,100,Table1[[#This Row],[Coupon Frequency2]])*Table1[[#This Row],[Face value]]/100</f>
        <v>111861.77851556876</v>
      </c>
      <c r="AF580" s="28">
        <f>(Table1[[#This Row],[P (+ shock)]]+Table1[[#This Row],[P (-shock)]]-2*Table1[[#This Row],[Ask Price]])/(2*Table1[[#This Row],[Ask Price]]*($AE$2^2))</f>
        <v>30.304627885477601</v>
      </c>
    </row>
    <row r="581" spans="1:32" x14ac:dyDescent="0.25">
      <c r="A581" s="21" t="s">
        <v>1206</v>
      </c>
      <c r="B581" s="3" t="s">
        <v>1207</v>
      </c>
      <c r="C581" s="3" t="s">
        <v>19</v>
      </c>
      <c r="D581" s="4">
        <v>43858</v>
      </c>
      <c r="E581" s="4">
        <v>47511</v>
      </c>
      <c r="F581" s="3">
        <v>1000000</v>
      </c>
      <c r="G581" s="3" t="s">
        <v>20</v>
      </c>
      <c r="H581" s="3">
        <v>1080424</v>
      </c>
      <c r="I581" s="3" t="s">
        <v>20</v>
      </c>
      <c r="J581" s="3">
        <v>108.0424</v>
      </c>
      <c r="K581" s="3">
        <v>1</v>
      </c>
      <c r="L581" s="5">
        <v>8.5500000000000007E-2</v>
      </c>
      <c r="M581" s="3" t="s">
        <v>21</v>
      </c>
      <c r="N581" s="3">
        <v>1594</v>
      </c>
      <c r="O581" s="6">
        <f>Table1[[#This Row],[Current coupon %]]*Table1[[#This Row],[Face value]]/Table1[[#This Row],[Ask Price]]</f>
        <v>7.9135598616839317E-2</v>
      </c>
      <c r="P581" s="3" t="s">
        <v>297</v>
      </c>
      <c r="Q581" s="3" t="s">
        <v>22</v>
      </c>
      <c r="R581">
        <f t="shared" si="9"/>
        <v>10</v>
      </c>
      <c r="S581" s="22" cm="1">
        <f t="array" ref="S581">_xlfn.IFS(Table1[[#This Row],[Coupon frequency]]="Semi-annual",2,Table1[[#This Row],[Coupon frequency]]="Quarterly",4,Table1[[#This Row],[Coupon frequency]]="Annual",1,Table1[[#This Row],[Coupon frequency]]="Every 4 months",3,Table1[[#This Row],[Coupon frequency]]="Monthly",12)</f>
        <v>1</v>
      </c>
      <c r="T581">
        <f>Table1[[#This Row],[Term to Maturity (Years)]]*Table1[[#This Row],[Coupon Frequency2]]</f>
        <v>10</v>
      </c>
      <c r="U581">
        <f>Table1[[#This Row],[Face value]]*Table1[[#This Row],[Current coupon %]]/Table1[[#This Row],[Coupon Frequency2]]</f>
        <v>85500</v>
      </c>
      <c r="V581" s="23">
        <f>RATE(Table1[[#This Row],[Total No. of Coupons]],Table1[[#This Row],[Coupon Amount]],-Table1[[#This Row],[Ask Price]],Table1[[#This Row],[Face value]])</f>
        <v>7.3845067489629115E-2</v>
      </c>
      <c r="W581" s="24">
        <f>Table1[[#This Row],[IRR]]*Table1[[#This Row],[Coupon Frequency2]]</f>
        <v>7.3845067489629115E-2</v>
      </c>
      <c r="X581" s="25" cm="1">
        <f t="array" ref="X58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1" s="26">
        <f>DURATION(Table1[[#This Row],[Issue date]],Table1[[#This Row],[Maturity date]],Table1[[#This Row],[Current coupon %]],Table1[[#This Row],[Yield (Annualised)]],Table1[[#This Row],[Coupon Frequency2]])</f>
        <v>7.2244305740794248</v>
      </c>
      <c r="Z581" s="26">
        <f>Table1[[#This Row],[Macaulay Duration in Years]]/(1+Table1[[#This Row],[IRR]])</f>
        <v>6.7276284007787703</v>
      </c>
      <c r="AA581" s="27">
        <f>VLOOKUP(Table1[[#This Row],[Yield Cluster]],'[1]Cluster Details'!$B$3:$C$16,2,0)</f>
        <v>7.8548801574189142E-2</v>
      </c>
      <c r="AB581" s="28">
        <f>PRICE(Table1[[#This Row],[Issue date]],Table1[[#This Row],[Maturity date]],Table1[[#This Row],[Current coupon %]],Table1[[#This Row],[Average Cluster Yield]],100,Table1[[#This Row],[Coupon Frequency2]])*Table1[[#This Row],[Face value]]/100</f>
        <v>1046949.9622413937</v>
      </c>
      <c r="AC581" s="27" t="str">
        <f>IF(Table1[[#This Row],[Ask Price]]&gt;Table1[[#This Row],[Calculated Bond Price]],"Rich","Cheap")</f>
        <v>Rich</v>
      </c>
      <c r="AD581" s="28">
        <f>PRICE(Table1[[#This Row],[Issue date]],Table1[[#This Row],[Maturity date]],Table1[[#This Row],[Current coupon %]],Table1[[#This Row],[Yield (Annualised)]]+$AE$2,100,Table1[[#This Row],[Coupon Frequency2]])*Table1[[#This Row],[Face value]]/100</f>
        <v>1010914.6896686058</v>
      </c>
      <c r="AE581" s="28">
        <f>PRICE(Table1[[#This Row],[Issue date]],Table1[[#This Row],[Maturity date]],Table1[[#This Row],[Current coupon %]],Table1[[#This Row],[Yield (Annualised)]]-$AE$2,100,Table1[[#This Row],[Coupon Frequency2]])*Table1[[#This Row],[Face value]]/100</f>
        <v>1156518.4928295652</v>
      </c>
      <c r="AF581" s="28">
        <f>(Table1[[#This Row],[P (+ shock)]]+Table1[[#This Row],[P (-shock)]]-2*Table1[[#This Row],[Ask Price]])/(2*Table1[[#This Row],[Ask Price]]*($AE$2^2))</f>
        <v>30.474991754028945</v>
      </c>
    </row>
    <row r="582" spans="1:32" x14ac:dyDescent="0.25">
      <c r="A582" s="21" t="s">
        <v>1208</v>
      </c>
      <c r="B582" s="3" t="s">
        <v>1209</v>
      </c>
      <c r="C582" s="3" t="s">
        <v>19</v>
      </c>
      <c r="D582" s="4">
        <v>45049</v>
      </c>
      <c r="E582" s="4">
        <v>46176</v>
      </c>
      <c r="F582" s="3">
        <v>1000</v>
      </c>
      <c r="G582" s="3" t="s">
        <v>20</v>
      </c>
      <c r="H582" s="3">
        <v>1011.95</v>
      </c>
      <c r="I582" s="3" t="s">
        <v>20</v>
      </c>
      <c r="J582" s="3">
        <v>101.19499999999999</v>
      </c>
      <c r="K582" s="3">
        <v>25</v>
      </c>
      <c r="L582" s="5">
        <v>0.08</v>
      </c>
      <c r="M582" s="3" t="s">
        <v>21</v>
      </c>
      <c r="N582" s="3">
        <v>259</v>
      </c>
      <c r="O582" s="6">
        <f>Table1[[#This Row],[Current coupon %]]*Table1[[#This Row],[Face value]]/Table1[[#This Row],[Ask Price]]</f>
        <v>7.9055289292949249E-2</v>
      </c>
      <c r="P582" s="3" t="s">
        <v>97</v>
      </c>
      <c r="Q582" s="3" t="s">
        <v>22</v>
      </c>
      <c r="R582">
        <f t="shared" si="9"/>
        <v>3</v>
      </c>
      <c r="S582" s="22" cm="1">
        <f t="array" ref="S582">_xlfn.IFS(Table1[[#This Row],[Coupon frequency]]="Semi-annual",2,Table1[[#This Row],[Coupon frequency]]="Quarterly",4,Table1[[#This Row],[Coupon frequency]]="Annual",1,Table1[[#This Row],[Coupon frequency]]="Every 4 months",3,Table1[[#This Row],[Coupon frequency]]="Monthly",12)</f>
        <v>1</v>
      </c>
      <c r="T582">
        <f>Table1[[#This Row],[Term to Maturity (Years)]]*Table1[[#This Row],[Coupon Frequency2]]</f>
        <v>3</v>
      </c>
      <c r="U582">
        <f>Table1[[#This Row],[Face value]]*Table1[[#This Row],[Current coupon %]]/Table1[[#This Row],[Coupon Frequency2]]</f>
        <v>80</v>
      </c>
      <c r="V582" s="23">
        <f>RATE(Table1[[#This Row],[Total No. of Coupons]],Table1[[#This Row],[Coupon Amount]],-Table1[[#This Row],[Ask Price]],Table1[[#This Row],[Face value]])</f>
        <v>7.5401425730582505E-2</v>
      </c>
      <c r="W582" s="24">
        <f>Table1[[#This Row],[IRR]]*Table1[[#This Row],[Coupon Frequency2]]</f>
        <v>7.5401425730582505E-2</v>
      </c>
      <c r="X582" s="25" cm="1">
        <f t="array" ref="X58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2" s="26">
        <f>DURATION(Table1[[#This Row],[Issue date]],Table1[[#This Row],[Maturity date]],Table1[[#This Row],[Current coupon %]],Table1[[#This Row],[Yield (Annualised)]],Table1[[#This Row],[Coupon Frequency2]])</f>
        <v>2.6639399653349458</v>
      </c>
      <c r="Z582" s="26">
        <f>Table1[[#This Row],[Macaulay Duration in Years]]/(1+Table1[[#This Row],[IRR]])</f>
        <v>2.4771586698661636</v>
      </c>
      <c r="AA582" s="27">
        <f>VLOOKUP(Table1[[#This Row],[Yield Cluster]],'[1]Cluster Details'!$B$3:$C$16,2,0)</f>
        <v>7.8548801574189142E-2</v>
      </c>
      <c r="AB582" s="28">
        <f>PRICE(Table1[[#This Row],[Issue date]],Table1[[#This Row],[Maturity date]],Table1[[#This Row],[Current coupon %]],Table1[[#This Row],[Average Cluster Yield]],100,Table1[[#This Row],[Coupon Frequency2]])*Table1[[#This Row],[Face value]]/100</f>
        <v>1003.6087242916212</v>
      </c>
      <c r="AC582" s="27" t="str">
        <f>IF(Table1[[#This Row],[Ask Price]]&gt;Table1[[#This Row],[Calculated Bond Price]],"Rich","Cheap")</f>
        <v>Rich</v>
      </c>
      <c r="AD582" s="28">
        <f>PRICE(Table1[[#This Row],[Issue date]],Table1[[#This Row],[Maturity date]],Table1[[#This Row],[Current coupon %]],Table1[[#This Row],[Yield (Annualised)]]+$AE$2,100,Table1[[#This Row],[Coupon Frequency2]])*Table1[[#This Row],[Face value]]/100</f>
        <v>985.62468765759684</v>
      </c>
      <c r="AE582" s="28">
        <f>PRICE(Table1[[#This Row],[Issue date]],Table1[[#This Row],[Maturity date]],Table1[[#This Row],[Current coupon %]],Table1[[#This Row],[Yield (Annualised)]]-$AE$2,100,Table1[[#This Row],[Coupon Frequency2]])*Table1[[#This Row],[Face value]]/100</f>
        <v>1039.4120596440973</v>
      </c>
      <c r="AF582" s="28">
        <f>(Table1[[#This Row],[P (+ shock)]]+Table1[[#This Row],[P (-shock)]]-2*Table1[[#This Row],[Ask Price]])/(2*Table1[[#This Row],[Ask Price]]*($AE$2^2))</f>
        <v>5.616617924274709</v>
      </c>
    </row>
    <row r="583" spans="1:32" x14ac:dyDescent="0.25">
      <c r="A583" s="21" t="s">
        <v>1210</v>
      </c>
      <c r="B583" s="3" t="s">
        <v>1211</v>
      </c>
      <c r="C583" s="3" t="s">
        <v>19</v>
      </c>
      <c r="D583" s="4">
        <v>44322</v>
      </c>
      <c r="E583" s="4">
        <v>47974</v>
      </c>
      <c r="F583" s="3">
        <v>1000</v>
      </c>
      <c r="G583" s="3" t="s">
        <v>20</v>
      </c>
      <c r="H583" s="3">
        <v>1039</v>
      </c>
      <c r="I583" s="3" t="s">
        <v>20</v>
      </c>
      <c r="J583" s="3">
        <v>103.899999999999</v>
      </c>
      <c r="K583" s="3">
        <v>613</v>
      </c>
      <c r="L583" s="5">
        <v>8.199999999999999E-2</v>
      </c>
      <c r="M583" s="3" t="s">
        <v>21</v>
      </c>
      <c r="N583" s="3">
        <v>2057</v>
      </c>
      <c r="O583" s="6">
        <f>Table1[[#This Row],[Current coupon %]]*Table1[[#This Row],[Face value]]/Table1[[#This Row],[Ask Price]]</f>
        <v>7.8922040423484108E-2</v>
      </c>
      <c r="P583" s="3"/>
      <c r="Q583" s="3" t="s">
        <v>22</v>
      </c>
      <c r="R583">
        <f t="shared" si="9"/>
        <v>10</v>
      </c>
      <c r="S583" s="22" cm="1">
        <f t="array" ref="S583">_xlfn.IFS(Table1[[#This Row],[Coupon frequency]]="Semi-annual",2,Table1[[#This Row],[Coupon frequency]]="Quarterly",4,Table1[[#This Row],[Coupon frequency]]="Annual",1,Table1[[#This Row],[Coupon frequency]]="Every 4 months",3,Table1[[#This Row],[Coupon frequency]]="Monthly",12)</f>
        <v>1</v>
      </c>
      <c r="T583">
        <f>Table1[[#This Row],[Term to Maturity (Years)]]*Table1[[#This Row],[Coupon Frequency2]]</f>
        <v>10</v>
      </c>
      <c r="U583">
        <f>Table1[[#This Row],[Face value]]*Table1[[#This Row],[Current coupon %]]/Table1[[#This Row],[Coupon Frequency2]]</f>
        <v>81.999999999999986</v>
      </c>
      <c r="V583" s="23">
        <f>RATE(Table1[[#This Row],[Total No. of Coupons]],Table1[[#This Row],[Coupon Amount]],-Table1[[#This Row],[Ask Price]],Table1[[#This Row],[Face value]])</f>
        <v>7.6284869788455792E-2</v>
      </c>
      <c r="W583" s="24">
        <f>Table1[[#This Row],[IRR]]*Table1[[#This Row],[Coupon Frequency2]]</f>
        <v>7.6284869788455792E-2</v>
      </c>
      <c r="X583" s="25" cm="1">
        <f t="array" ref="X58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3" s="26">
        <f>DURATION(Table1[[#This Row],[Issue date]],Table1[[#This Row],[Maturity date]],Table1[[#This Row],[Current coupon %]],Table1[[#This Row],[Yield (Annualised)]],Table1[[#This Row],[Coupon Frequency2]])</f>
        <v>7.2527601101490999</v>
      </c>
      <c r="Z583" s="26">
        <f>Table1[[#This Row],[Macaulay Duration in Years]]/(1+Table1[[#This Row],[IRR]])</f>
        <v>6.7386993106895883</v>
      </c>
      <c r="AA583" s="27">
        <f>VLOOKUP(Table1[[#This Row],[Yield Cluster]],'[1]Cluster Details'!$B$3:$C$16,2,0)</f>
        <v>7.8548801574189142E-2</v>
      </c>
      <c r="AB583" s="28">
        <f>PRICE(Table1[[#This Row],[Issue date]],Table1[[#This Row],[Maturity date]],Table1[[#This Row],[Current coupon %]],Table1[[#This Row],[Average Cluster Yield]],100,Table1[[#This Row],[Coupon Frequency2]])*Table1[[#This Row],[Face value]]/100</f>
        <v>1023.3101727002534</v>
      </c>
      <c r="AC583" s="27" t="str">
        <f>IF(Table1[[#This Row],[Ask Price]]&gt;Table1[[#This Row],[Calculated Bond Price]],"Rich","Cheap")</f>
        <v>Rich</v>
      </c>
      <c r="AD583" s="28">
        <f>PRICE(Table1[[#This Row],[Issue date]],Table1[[#This Row],[Maturity date]],Table1[[#This Row],[Current coupon %]],Table1[[#This Row],[Yield (Annualised)]]+$AE$2,100,Table1[[#This Row],[Coupon Frequency2]])*Table1[[#This Row],[Face value]]/100</f>
        <v>972.04572114315192</v>
      </c>
      <c r="AE583" s="28">
        <f>PRICE(Table1[[#This Row],[Issue date]],Table1[[#This Row],[Maturity date]],Table1[[#This Row],[Current coupon %]],Table1[[#This Row],[Yield (Annualised)]]-$AE$2,100,Table1[[#This Row],[Coupon Frequency2]])*Table1[[#This Row],[Face value]]/100</f>
        <v>1112.2972192340123</v>
      </c>
      <c r="AF583" s="28">
        <f>(Table1[[#This Row],[P (+ shock)]]+Table1[[#This Row],[P (-shock)]]-2*Table1[[#This Row],[Ask Price]])/(2*Table1[[#This Row],[Ask Price]]*($AE$2^2))</f>
        <v>30.524255905506582</v>
      </c>
    </row>
    <row r="584" spans="1:32" x14ac:dyDescent="0.25">
      <c r="A584" s="21" t="s">
        <v>1212</v>
      </c>
      <c r="B584" s="3" t="s">
        <v>1213</v>
      </c>
      <c r="C584" s="3" t="s">
        <v>19</v>
      </c>
      <c r="D584" s="4">
        <v>44686</v>
      </c>
      <c r="E584" s="4">
        <v>47243</v>
      </c>
      <c r="F584" s="3">
        <v>1000</v>
      </c>
      <c r="G584" s="3" t="s">
        <v>20</v>
      </c>
      <c r="H584" s="3">
        <v>921.2</v>
      </c>
      <c r="I584" s="3" t="s">
        <v>20</v>
      </c>
      <c r="J584" s="3">
        <v>92.12</v>
      </c>
      <c r="K584" s="3">
        <v>1</v>
      </c>
      <c r="L584" s="5">
        <v>7.2499999999999995E-2</v>
      </c>
      <c r="M584" s="3" t="s">
        <v>21</v>
      </c>
      <c r="N584" s="3">
        <v>1326</v>
      </c>
      <c r="O584" s="6">
        <f>Table1[[#This Row],[Current coupon %]]*Table1[[#This Row],[Face value]]/Table1[[#This Row],[Ask Price]]</f>
        <v>7.8701693443334775E-2</v>
      </c>
      <c r="P584" s="3" t="s">
        <v>97</v>
      </c>
      <c r="Q584" s="3" t="s">
        <v>22</v>
      </c>
      <c r="R584">
        <f t="shared" si="9"/>
        <v>7</v>
      </c>
      <c r="S584" s="22" cm="1">
        <f t="array" ref="S584">_xlfn.IFS(Table1[[#This Row],[Coupon frequency]]="Semi-annual",2,Table1[[#This Row],[Coupon frequency]]="Quarterly",4,Table1[[#This Row],[Coupon frequency]]="Annual",1,Table1[[#This Row],[Coupon frequency]]="Every 4 months",3,Table1[[#This Row],[Coupon frequency]]="Monthly",12)</f>
        <v>1</v>
      </c>
      <c r="T584">
        <f>Table1[[#This Row],[Term to Maturity (Years)]]*Table1[[#This Row],[Coupon Frequency2]]</f>
        <v>7</v>
      </c>
      <c r="U584">
        <f>Table1[[#This Row],[Face value]]*Table1[[#This Row],[Current coupon %]]/Table1[[#This Row],[Coupon Frequency2]]</f>
        <v>72.5</v>
      </c>
      <c r="V584" s="23">
        <f>RATE(Table1[[#This Row],[Total No. of Coupons]],Table1[[#This Row],[Coupon Amount]],-Table1[[#This Row],[Ask Price]],Table1[[#This Row],[Face value]])</f>
        <v>8.8054764124518181E-2</v>
      </c>
      <c r="W584" s="24">
        <f>Table1[[#This Row],[IRR]]*Table1[[#This Row],[Coupon Frequency2]]</f>
        <v>8.8054764124518181E-2</v>
      </c>
      <c r="X584" s="25" cm="1">
        <f t="array" ref="X58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4" s="26">
        <f>DURATION(Table1[[#This Row],[Issue date]],Table1[[#This Row],[Maturity date]],Table1[[#This Row],[Current coupon %]],Table1[[#This Row],[Yield (Annualised)]],Table1[[#This Row],[Coupon Frequency2]])</f>
        <v>5.6701027236093857</v>
      </c>
      <c r="Z584" s="26">
        <f>Table1[[#This Row],[Macaulay Duration in Years]]/(1+Table1[[#This Row],[IRR]])</f>
        <v>5.2112291683881571</v>
      </c>
      <c r="AA584" s="27">
        <f>VLOOKUP(Table1[[#This Row],[Yield Cluster]],'[1]Cluster Details'!$B$3:$C$16,2,0)</f>
        <v>7.8548801574189142E-2</v>
      </c>
      <c r="AB584" s="28">
        <f>PRICE(Table1[[#This Row],[Issue date]],Table1[[#This Row],[Maturity date]],Table1[[#This Row],[Current coupon %]],Table1[[#This Row],[Average Cluster Yield]],100,Table1[[#This Row],[Coupon Frequency2]])*Table1[[#This Row],[Face value]]/100</f>
        <v>968.35079152218327</v>
      </c>
      <c r="AC584" s="27" t="str">
        <f>IF(Table1[[#This Row],[Ask Price]]&gt;Table1[[#This Row],[Calculated Bond Price]],"Rich","Cheap")</f>
        <v>Cheap</v>
      </c>
      <c r="AD584" s="28">
        <f>PRICE(Table1[[#This Row],[Issue date]],Table1[[#This Row],[Maturity date]],Table1[[#This Row],[Current coupon %]],Table1[[#This Row],[Yield (Annualised)]]+$AE$2,100,Table1[[#This Row],[Coupon Frequency2]])*Table1[[#This Row],[Face value]]/100</f>
        <v>874.78788543712392</v>
      </c>
      <c r="AE584" s="28">
        <f>PRICE(Table1[[#This Row],[Issue date]],Table1[[#This Row],[Maturity date]],Table1[[#This Row],[Current coupon %]],Table1[[#This Row],[Yield (Annualised)]]-$AE$2,100,Table1[[#This Row],[Coupon Frequency2]])*Table1[[#This Row],[Face value]]/100</f>
        <v>970.88643909899167</v>
      </c>
      <c r="AF584" s="28">
        <f>(Table1[[#This Row],[P (+ shock)]]+Table1[[#This Row],[P (-shock)]]-2*Table1[[#This Row],[Ask Price]])/(2*Table1[[#This Row],[Ask Price]]*($AE$2^2))</f>
        <v>17.772061094851825</v>
      </c>
    </row>
    <row r="585" spans="1:32" x14ac:dyDescent="0.25">
      <c r="A585" s="21" t="s">
        <v>1214</v>
      </c>
      <c r="B585" s="3" t="s">
        <v>1215</v>
      </c>
      <c r="C585" s="3" t="s">
        <v>19</v>
      </c>
      <c r="D585" s="4">
        <v>44923</v>
      </c>
      <c r="E585" s="4">
        <v>46800</v>
      </c>
      <c r="F585" s="3">
        <v>1000000</v>
      </c>
      <c r="G585" s="3" t="s">
        <v>20</v>
      </c>
      <c r="H585" s="3">
        <v>1014721.6</v>
      </c>
      <c r="I585" s="3" t="s">
        <v>20</v>
      </c>
      <c r="J585" s="3">
        <v>101.47215999999899</v>
      </c>
      <c r="K585" s="3">
        <v>16</v>
      </c>
      <c r="L585" s="5">
        <v>7.9699999999999993E-2</v>
      </c>
      <c r="M585" s="3" t="s">
        <v>21</v>
      </c>
      <c r="N585" s="3">
        <v>883</v>
      </c>
      <c r="O585" s="6">
        <f>Table1[[#This Row],[Current coupon %]]*Table1[[#This Row],[Face value]]/Table1[[#This Row],[Ask Price]]</f>
        <v>7.854371090553311E-2</v>
      </c>
      <c r="P585" s="3"/>
      <c r="Q585" s="3" t="s">
        <v>22</v>
      </c>
      <c r="R585">
        <f t="shared" si="9"/>
        <v>5</v>
      </c>
      <c r="S585" s="22" cm="1">
        <f t="array" ref="S585">_xlfn.IFS(Table1[[#This Row],[Coupon frequency]]="Semi-annual",2,Table1[[#This Row],[Coupon frequency]]="Quarterly",4,Table1[[#This Row],[Coupon frequency]]="Annual",1,Table1[[#This Row],[Coupon frequency]]="Every 4 months",3,Table1[[#This Row],[Coupon frequency]]="Monthly",12)</f>
        <v>1</v>
      </c>
      <c r="T585">
        <f>Table1[[#This Row],[Term to Maturity (Years)]]*Table1[[#This Row],[Coupon Frequency2]]</f>
        <v>5</v>
      </c>
      <c r="U585">
        <f>Table1[[#This Row],[Face value]]*Table1[[#This Row],[Current coupon %]]/Table1[[#This Row],[Coupon Frequency2]]</f>
        <v>79700</v>
      </c>
      <c r="V585" s="23">
        <f>RATE(Table1[[#This Row],[Total No. of Coupons]],Table1[[#This Row],[Coupon Amount]],-Table1[[#This Row],[Ask Price]],Table1[[#This Row],[Face value]])</f>
        <v>7.6051173566941022E-2</v>
      </c>
      <c r="W585" s="24">
        <f>Table1[[#This Row],[IRR]]*Table1[[#This Row],[Coupon Frequency2]]</f>
        <v>7.6051173566941022E-2</v>
      </c>
      <c r="X585" s="25" cm="1">
        <f t="array" ref="X58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5" s="26">
        <f>DURATION(Table1[[#This Row],[Issue date]],Table1[[#This Row],[Maturity date]],Table1[[#This Row],[Current coupon %]],Table1[[#This Row],[Yield (Annualised)]],Table1[[#This Row],[Coupon Frequency2]])</f>
        <v>4.1413874856165309</v>
      </c>
      <c r="Z585" s="26">
        <f>Table1[[#This Row],[Macaulay Duration in Years]]/(1+Table1[[#This Row],[IRR]])</f>
        <v>3.8486900877478538</v>
      </c>
      <c r="AA585" s="27">
        <f>VLOOKUP(Table1[[#This Row],[Yield Cluster]],'[1]Cluster Details'!$B$3:$C$16,2,0)</f>
        <v>7.8548801574189142E-2</v>
      </c>
      <c r="AB585" s="28">
        <f>PRICE(Table1[[#This Row],[Issue date]],Table1[[#This Row],[Maturity date]],Table1[[#This Row],[Current coupon %]],Table1[[#This Row],[Average Cluster Yield]],100,Table1[[#This Row],[Coupon Frequency2]])*Table1[[#This Row],[Face value]]/100</f>
        <v>1004359.3084157808</v>
      </c>
      <c r="AC585" s="27" t="str">
        <f>IF(Table1[[#This Row],[Ask Price]]&gt;Table1[[#This Row],[Calculated Bond Price]],"Rich","Cheap")</f>
        <v>Rich</v>
      </c>
      <c r="AD585" s="28">
        <f>PRICE(Table1[[#This Row],[Issue date]],Table1[[#This Row],[Maturity date]],Table1[[#This Row],[Current coupon %]],Table1[[#This Row],[Yield (Annualised)]]+$AE$2,100,Table1[[#This Row],[Coupon Frequency2]])*Table1[[#This Row],[Face value]]/100</f>
        <v>974104.52608851274</v>
      </c>
      <c r="AE585" s="28">
        <f>PRICE(Table1[[#This Row],[Issue date]],Table1[[#This Row],[Maturity date]],Table1[[#This Row],[Current coupon %]],Table1[[#This Row],[Yield (Annualised)]]-$AE$2,100,Table1[[#This Row],[Coupon Frequency2]])*Table1[[#This Row],[Face value]]/100</f>
        <v>1057558.4844912356</v>
      </c>
      <c r="AF585" s="28">
        <f>(Table1[[#This Row],[P (+ shock)]]+Table1[[#This Row],[P (-shock)]]-2*Table1[[#This Row],[Ask Price]])/(2*Table1[[#This Row],[Ask Price]]*($AE$2^2))</f>
        <v>10.938027631166808</v>
      </c>
    </row>
    <row r="586" spans="1:32" x14ac:dyDescent="0.25">
      <c r="A586" s="21" t="s">
        <v>1216</v>
      </c>
      <c r="B586" s="3" t="s">
        <v>1217</v>
      </c>
      <c r="C586" s="3" t="s">
        <v>19</v>
      </c>
      <c r="D586" s="4">
        <v>44306</v>
      </c>
      <c r="E586" s="4">
        <v>47958</v>
      </c>
      <c r="F586" s="3">
        <v>1000</v>
      </c>
      <c r="G586" s="3" t="s">
        <v>20</v>
      </c>
      <c r="H586" s="3">
        <v>1018.9</v>
      </c>
      <c r="I586" s="3" t="s">
        <v>20</v>
      </c>
      <c r="J586" s="3">
        <v>101.88999999999901</v>
      </c>
      <c r="K586" s="3">
        <v>10</v>
      </c>
      <c r="L586" s="5">
        <v>0.08</v>
      </c>
      <c r="M586" s="3" t="s">
        <v>21</v>
      </c>
      <c r="N586" s="3">
        <v>2041</v>
      </c>
      <c r="O586" s="6">
        <f>Table1[[#This Row],[Current coupon %]]*Table1[[#This Row],[Face value]]/Table1[[#This Row],[Ask Price]]</f>
        <v>7.8516046717047802E-2</v>
      </c>
      <c r="P586" s="3" t="s">
        <v>97</v>
      </c>
      <c r="Q586" s="3" t="s">
        <v>22</v>
      </c>
      <c r="R586">
        <f t="shared" si="9"/>
        <v>10</v>
      </c>
      <c r="S586" s="22" cm="1">
        <f t="array" ref="S586">_xlfn.IFS(Table1[[#This Row],[Coupon frequency]]="Semi-annual",2,Table1[[#This Row],[Coupon frequency]]="Quarterly",4,Table1[[#This Row],[Coupon frequency]]="Annual",1,Table1[[#This Row],[Coupon frequency]]="Every 4 months",3,Table1[[#This Row],[Coupon frequency]]="Monthly",12)</f>
        <v>1</v>
      </c>
      <c r="T586">
        <f>Table1[[#This Row],[Term to Maturity (Years)]]*Table1[[#This Row],[Coupon Frequency2]]</f>
        <v>10</v>
      </c>
      <c r="U586">
        <f>Table1[[#This Row],[Face value]]*Table1[[#This Row],[Current coupon %]]/Table1[[#This Row],[Coupon Frequency2]]</f>
        <v>80</v>
      </c>
      <c r="V586" s="23">
        <f>RATE(Table1[[#This Row],[Total No. of Coupons]],Table1[[#This Row],[Coupon Amount]],-Table1[[#This Row],[Ask Price]],Table1[[#This Row],[Face value]])</f>
        <v>7.7218577541223299E-2</v>
      </c>
      <c r="W586" s="24">
        <f>Table1[[#This Row],[IRR]]*Table1[[#This Row],[Coupon Frequency2]]</f>
        <v>7.7218577541223299E-2</v>
      </c>
      <c r="X586" s="25" cm="1">
        <f t="array" ref="X58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6" s="26">
        <f>DURATION(Table1[[#This Row],[Issue date]],Table1[[#This Row],[Maturity date]],Table1[[#This Row],[Current coupon %]],Table1[[#This Row],[Yield (Annualised)]],Table1[[#This Row],[Coupon Frequency2]])</f>
        <v>7.2747566610348144</v>
      </c>
      <c r="Z586" s="26">
        <f>Table1[[#This Row],[Macaulay Duration in Years]]/(1+Table1[[#This Row],[IRR]])</f>
        <v>6.7532781300890834</v>
      </c>
      <c r="AA586" s="27">
        <f>VLOOKUP(Table1[[#This Row],[Yield Cluster]],'[1]Cluster Details'!$B$3:$C$16,2,0)</f>
        <v>7.8548801574189142E-2</v>
      </c>
      <c r="AB586" s="28">
        <f>PRICE(Table1[[#This Row],[Issue date]],Table1[[#This Row],[Maturity date]],Table1[[#This Row],[Current coupon %]],Table1[[#This Row],[Average Cluster Yield]],100,Table1[[#This Row],[Coupon Frequency2]])*Table1[[#This Row],[Face value]]/100</f>
        <v>1009.8017215338873</v>
      </c>
      <c r="AC586" s="27" t="str">
        <f>IF(Table1[[#This Row],[Ask Price]]&gt;Table1[[#This Row],[Calculated Bond Price]],"Rich","Cheap")</f>
        <v>Rich</v>
      </c>
      <c r="AD586" s="28">
        <f>PRICE(Table1[[#This Row],[Issue date]],Table1[[#This Row],[Maturity date]],Table1[[#This Row],[Current coupon %]],Table1[[#This Row],[Yield (Annualised)]]+$AE$2,100,Table1[[#This Row],[Coupon Frequency2]])*Table1[[#This Row],[Face value]]/100</f>
        <v>953.10103967609757</v>
      </c>
      <c r="AE586" s="28">
        <f>PRICE(Table1[[#This Row],[Issue date]],Table1[[#This Row],[Maturity date]],Table1[[#This Row],[Current coupon %]],Table1[[#This Row],[Yield (Annualised)]]-$AE$2,100,Table1[[#This Row],[Coupon Frequency2]])*Table1[[#This Row],[Face value]]/100</f>
        <v>1090.9370225850109</v>
      </c>
      <c r="AF586" s="28">
        <f>(Table1[[#This Row],[P (+ shock)]]+Table1[[#This Row],[P (-shock)]]-2*Table1[[#This Row],[Ask Price]])/(2*Table1[[#This Row],[Ask Price]]*($AE$2^2))</f>
        <v>30.611749244815744</v>
      </c>
    </row>
    <row r="587" spans="1:32" x14ac:dyDescent="0.25">
      <c r="A587" s="21" t="s">
        <v>1218</v>
      </c>
      <c r="B587" s="3" t="s">
        <v>1219</v>
      </c>
      <c r="C587" s="3" t="s">
        <v>19</v>
      </c>
      <c r="D587" s="4">
        <v>45034</v>
      </c>
      <c r="E587" s="4">
        <v>46252</v>
      </c>
      <c r="F587" s="3">
        <v>100000</v>
      </c>
      <c r="G587" s="3" t="s">
        <v>20</v>
      </c>
      <c r="H587" s="3">
        <v>103321</v>
      </c>
      <c r="I587" s="3" t="s">
        <v>20</v>
      </c>
      <c r="J587" s="3">
        <v>103.321</v>
      </c>
      <c r="K587" s="3">
        <v>3</v>
      </c>
      <c r="L587" s="5">
        <v>8.1079999999999999E-2</v>
      </c>
      <c r="M587" s="3" t="s">
        <v>21</v>
      </c>
      <c r="N587" s="3">
        <v>335</v>
      </c>
      <c r="O587" s="6">
        <f>Table1[[#This Row],[Current coupon %]]*Table1[[#This Row],[Face value]]/Table1[[#This Row],[Ask Price]]</f>
        <v>7.8473882366605047E-2</v>
      </c>
      <c r="P587" s="3"/>
      <c r="Q587" s="3" t="s">
        <v>22</v>
      </c>
      <c r="R587">
        <f t="shared" si="9"/>
        <v>3</v>
      </c>
      <c r="S587" s="22" cm="1">
        <f t="array" ref="S587">_xlfn.IFS(Table1[[#This Row],[Coupon frequency]]="Semi-annual",2,Table1[[#This Row],[Coupon frequency]]="Quarterly",4,Table1[[#This Row],[Coupon frequency]]="Annual",1,Table1[[#This Row],[Coupon frequency]]="Every 4 months",3,Table1[[#This Row],[Coupon frequency]]="Monthly",12)</f>
        <v>1</v>
      </c>
      <c r="T587">
        <f>Table1[[#This Row],[Term to Maturity (Years)]]*Table1[[#This Row],[Coupon Frequency2]]</f>
        <v>3</v>
      </c>
      <c r="U587">
        <f>Table1[[#This Row],[Face value]]*Table1[[#This Row],[Current coupon %]]/Table1[[#This Row],[Coupon Frequency2]]</f>
        <v>8108</v>
      </c>
      <c r="V587" s="23">
        <f>RATE(Table1[[#This Row],[Total No. of Coupons]],Table1[[#This Row],[Coupon Amount]],-Table1[[#This Row],[Ask Price]],Table1[[#This Row],[Face value]])</f>
        <v>6.8460844694540654E-2</v>
      </c>
      <c r="W587" s="24">
        <f>Table1[[#This Row],[IRR]]*Table1[[#This Row],[Coupon Frequency2]]</f>
        <v>6.8460844694540654E-2</v>
      </c>
      <c r="X587" s="25" cm="1">
        <f t="array" ref="X58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7" s="26">
        <f>DURATION(Table1[[#This Row],[Issue date]],Table1[[#This Row],[Maturity date]],Table1[[#This Row],[Current coupon %]],Table1[[#This Row],[Yield (Annualised)]],Table1[[#This Row],[Coupon Frequency2]])</f>
        <v>2.9151008186072485</v>
      </c>
      <c r="Z587" s="26">
        <f>Table1[[#This Row],[Macaulay Duration in Years]]/(1+Table1[[#This Row],[IRR]])</f>
        <v>2.7283178724632053</v>
      </c>
      <c r="AA587" s="27">
        <f>VLOOKUP(Table1[[#This Row],[Yield Cluster]],'[1]Cluster Details'!$B$3:$C$16,2,0)</f>
        <v>7.8548801574189142E-2</v>
      </c>
      <c r="AB587" s="28">
        <f>PRICE(Table1[[#This Row],[Issue date]],Table1[[#This Row],[Maturity date]],Table1[[#This Row],[Current coupon %]],Table1[[#This Row],[Average Cluster Yield]],100,Table1[[#This Row],[Coupon Frequency2]])*Table1[[#This Row],[Face value]]/100</f>
        <v>100649.55471018664</v>
      </c>
      <c r="AC587" s="27" t="str">
        <f>IF(Table1[[#This Row],[Ask Price]]&gt;Table1[[#This Row],[Calculated Bond Price]],"Rich","Cheap")</f>
        <v>Rich</v>
      </c>
      <c r="AD587" s="28">
        <f>PRICE(Table1[[#This Row],[Issue date]],Table1[[#This Row],[Maturity date]],Table1[[#This Row],[Current coupon %]],Table1[[#This Row],[Yield (Annualised)]]+$AE$2,100,Table1[[#This Row],[Coupon Frequency2]])*Table1[[#This Row],[Face value]]/100</f>
        <v>100674.70452011419</v>
      </c>
      <c r="AE587" s="28">
        <f>PRICE(Table1[[#This Row],[Issue date]],Table1[[#This Row],[Maturity date]],Table1[[#This Row],[Current coupon %]],Table1[[#This Row],[Yield (Annualised)]]-$AE$2,100,Table1[[#This Row],[Coupon Frequency2]])*Table1[[#This Row],[Face value]]/100</f>
        <v>106624.15213647965</v>
      </c>
      <c r="AF587" s="28">
        <f>(Table1[[#This Row],[P (+ shock)]]+Table1[[#This Row],[P (-shock)]]-2*Table1[[#This Row],[Ask Price]])/(2*Table1[[#This Row],[Ask Price]]*($AE$2^2))</f>
        <v>31.787180563189121</v>
      </c>
    </row>
    <row r="588" spans="1:32" x14ac:dyDescent="0.25">
      <c r="A588" s="21" t="s">
        <v>1220</v>
      </c>
      <c r="B588" s="3" t="s">
        <v>1221</v>
      </c>
      <c r="C588" s="3" t="s">
        <v>19</v>
      </c>
      <c r="D588" s="4">
        <v>43549</v>
      </c>
      <c r="E588" s="4">
        <v>47202</v>
      </c>
      <c r="F588" s="3">
        <v>1000000</v>
      </c>
      <c r="G588" s="3" t="s">
        <v>20</v>
      </c>
      <c r="H588" s="3">
        <v>1058198</v>
      </c>
      <c r="I588" s="3" t="s">
        <v>20</v>
      </c>
      <c r="J588" s="3">
        <v>105.8198</v>
      </c>
      <c r="K588" s="3">
        <v>50</v>
      </c>
      <c r="L588" s="5">
        <v>8.3000000000000004E-2</v>
      </c>
      <c r="M588" s="3" t="s">
        <v>53</v>
      </c>
      <c r="N588" s="3">
        <v>1285</v>
      </c>
      <c r="O588" s="6">
        <f>Table1[[#This Row],[Current coupon %]]*Table1[[#This Row],[Face value]]/Table1[[#This Row],[Ask Price]]</f>
        <v>7.84352266778051E-2</v>
      </c>
      <c r="P588" s="3"/>
      <c r="Q588" s="3" t="s">
        <v>22</v>
      </c>
      <c r="R588">
        <f t="shared" si="9"/>
        <v>10</v>
      </c>
      <c r="S588" s="22" cm="1">
        <f t="array" ref="S588">_xlfn.IFS(Table1[[#This Row],[Coupon frequency]]="Semi-annual",2,Table1[[#This Row],[Coupon frequency]]="Quarterly",4,Table1[[#This Row],[Coupon frequency]]="Annual",1,Table1[[#This Row],[Coupon frequency]]="Every 4 months",3,Table1[[#This Row],[Coupon frequency]]="Monthly",12)</f>
        <v>2</v>
      </c>
      <c r="T588">
        <f>Table1[[#This Row],[Term to Maturity (Years)]]*Table1[[#This Row],[Coupon Frequency2]]</f>
        <v>20</v>
      </c>
      <c r="U588">
        <f>Table1[[#This Row],[Face value]]*Table1[[#This Row],[Current coupon %]]/Table1[[#This Row],[Coupon Frequency2]]</f>
        <v>41500</v>
      </c>
      <c r="V588" s="23">
        <f>RATE(Table1[[#This Row],[Total No. of Coupons]],Table1[[#This Row],[Coupon Amount]],-Table1[[#This Row],[Ask Price]],Table1[[#This Row],[Face value]])</f>
        <v>3.7318742029351697E-2</v>
      </c>
      <c r="W588" s="24">
        <f>Table1[[#This Row],[IRR]]*Table1[[#This Row],[Coupon Frequency2]]</f>
        <v>7.4637484058703393E-2</v>
      </c>
      <c r="X588" s="25" cm="1">
        <f t="array" ref="X58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8" s="26">
        <f>DURATION(Table1[[#This Row],[Issue date]],Table1[[#This Row],[Maturity date]],Table1[[#This Row],[Current coupon %]],Table1[[#This Row],[Yield (Annualised)]],Table1[[#This Row],[Coupon Frequency2]])</f>
        <v>7.0776055140315108</v>
      </c>
      <c r="Z588" s="26">
        <f>Table1[[#This Row],[Macaulay Duration in Years]]/(1+Table1[[#This Row],[IRR]])</f>
        <v>6.8229804661441706</v>
      </c>
      <c r="AA588" s="27">
        <f>VLOOKUP(Table1[[#This Row],[Yield Cluster]],'[1]Cluster Details'!$B$3:$C$16,2,0)</f>
        <v>7.8548801574189142E-2</v>
      </c>
      <c r="AB588" s="28">
        <f>PRICE(Table1[[#This Row],[Issue date]],Table1[[#This Row],[Maturity date]],Table1[[#This Row],[Current coupon %]],Table1[[#This Row],[Average Cluster Yield]],100,Table1[[#This Row],[Coupon Frequency2]])*Table1[[#This Row],[Face value]]/100</f>
        <v>1030441.8911530906</v>
      </c>
      <c r="AC588" s="27" t="str">
        <f>IF(Table1[[#This Row],[Ask Price]]&gt;Table1[[#This Row],[Calculated Bond Price]],"Rich","Cheap")</f>
        <v>Rich</v>
      </c>
      <c r="AD588" s="28">
        <f>PRICE(Table1[[#This Row],[Issue date]],Table1[[#This Row],[Maturity date]],Table1[[#This Row],[Current coupon %]],Table1[[#This Row],[Yield (Annualised)]]+$AE$2,100,Table1[[#This Row],[Coupon Frequency2]])*Table1[[#This Row],[Face value]]/100</f>
        <v>989098.04142535012</v>
      </c>
      <c r="AE588" s="28">
        <f>PRICE(Table1[[#This Row],[Issue date]],Table1[[#This Row],[Maturity date]],Table1[[#This Row],[Current coupon %]],Table1[[#This Row],[Yield (Annualised)]]-$AE$2,100,Table1[[#This Row],[Coupon Frequency2]])*Table1[[#This Row],[Face value]]/100</f>
        <v>1133711.066936194</v>
      </c>
      <c r="AF588" s="28">
        <f>(Table1[[#This Row],[P (+ shock)]]+Table1[[#This Row],[P (-shock)]]-2*Table1[[#This Row],[Ask Price]])/(2*Table1[[#This Row],[Ask Price]]*($AE$2^2))</f>
        <v>30.302024581146853</v>
      </c>
    </row>
    <row r="589" spans="1:32" x14ac:dyDescent="0.25">
      <c r="A589" s="21" t="s">
        <v>1222</v>
      </c>
      <c r="B589" s="3" t="s">
        <v>1223</v>
      </c>
      <c r="C589" s="3" t="s">
        <v>19</v>
      </c>
      <c r="D589" s="4">
        <v>41723</v>
      </c>
      <c r="E589" s="4">
        <v>47202</v>
      </c>
      <c r="F589" s="3">
        <v>1000</v>
      </c>
      <c r="G589" s="3" t="s">
        <v>20</v>
      </c>
      <c r="H589" s="3">
        <v>1148</v>
      </c>
      <c r="I589" s="3" t="s">
        <v>20</v>
      </c>
      <c r="J589" s="3">
        <v>114.8</v>
      </c>
      <c r="K589" s="3">
        <v>100</v>
      </c>
      <c r="L589" s="5">
        <v>0.09</v>
      </c>
      <c r="M589" s="3" t="s">
        <v>21</v>
      </c>
      <c r="N589" s="3">
        <v>1285</v>
      </c>
      <c r="O589" s="6">
        <f>Table1[[#This Row],[Current coupon %]]*Table1[[#This Row],[Face value]]/Table1[[#This Row],[Ask Price]]</f>
        <v>7.8397212543554001E-2</v>
      </c>
      <c r="P589" s="3"/>
      <c r="Q589" s="3" t="s">
        <v>22</v>
      </c>
      <c r="R589">
        <f t="shared" si="9"/>
        <v>15</v>
      </c>
      <c r="S589" s="22" cm="1">
        <f t="array" ref="S589">_xlfn.IFS(Table1[[#This Row],[Coupon frequency]]="Semi-annual",2,Table1[[#This Row],[Coupon frequency]]="Quarterly",4,Table1[[#This Row],[Coupon frequency]]="Annual",1,Table1[[#This Row],[Coupon frequency]]="Every 4 months",3,Table1[[#This Row],[Coupon frequency]]="Monthly",12)</f>
        <v>1</v>
      </c>
      <c r="T589">
        <f>Table1[[#This Row],[Term to Maturity (Years)]]*Table1[[#This Row],[Coupon Frequency2]]</f>
        <v>15</v>
      </c>
      <c r="U589">
        <f>Table1[[#This Row],[Face value]]*Table1[[#This Row],[Current coupon %]]/Table1[[#This Row],[Coupon Frequency2]]</f>
        <v>90</v>
      </c>
      <c r="V589" s="23">
        <f>RATE(Table1[[#This Row],[Total No. of Coupons]],Table1[[#This Row],[Coupon Amount]],-Table1[[#This Row],[Ask Price]],Table1[[#This Row],[Face value]])</f>
        <v>7.3399734530335645E-2</v>
      </c>
      <c r="W589" s="24">
        <f>Table1[[#This Row],[IRR]]*Table1[[#This Row],[Coupon Frequency2]]</f>
        <v>7.3399734530335645E-2</v>
      </c>
      <c r="X589" s="25" cm="1">
        <f t="array" ref="X58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89" s="26">
        <f>DURATION(Table1[[#This Row],[Issue date]],Table1[[#This Row],[Maturity date]],Table1[[#This Row],[Current coupon %]],Table1[[#This Row],[Yield (Annualised)]],Table1[[#This Row],[Coupon Frequency2]])</f>
        <v>9.2002054461525198</v>
      </c>
      <c r="Z589" s="26">
        <f>Table1[[#This Row],[Macaulay Duration in Years]]/(1+Table1[[#This Row],[IRR]])</f>
        <v>8.5710897349700339</v>
      </c>
      <c r="AA589" s="27">
        <f>VLOOKUP(Table1[[#This Row],[Yield Cluster]],'[1]Cluster Details'!$B$3:$C$16,2,0)</f>
        <v>7.8548801574189142E-2</v>
      </c>
      <c r="AB589" s="28">
        <f>PRICE(Table1[[#This Row],[Issue date]],Table1[[#This Row],[Maturity date]],Table1[[#This Row],[Current coupon %]],Table1[[#This Row],[Average Cluster Yield]],100,Table1[[#This Row],[Coupon Frequency2]])*Table1[[#This Row],[Face value]]/100</f>
        <v>1098.8908227854565</v>
      </c>
      <c r="AC589" s="27" t="str">
        <f>IF(Table1[[#This Row],[Ask Price]]&gt;Table1[[#This Row],[Calculated Bond Price]],"Rich","Cheap")</f>
        <v>Rich</v>
      </c>
      <c r="AD589" s="28">
        <f>PRICE(Table1[[#This Row],[Issue date]],Table1[[#This Row],[Maturity date]],Table1[[#This Row],[Current coupon %]],Table1[[#This Row],[Yield (Annualised)]]+$AE$2,100,Table1[[#This Row],[Coupon Frequency2]])*Table1[[#This Row],[Face value]]/100</f>
        <v>1055.3407336146608</v>
      </c>
      <c r="AE589" s="28">
        <f>PRICE(Table1[[#This Row],[Issue date]],Table1[[#This Row],[Maturity date]],Table1[[#This Row],[Current coupon %]],Table1[[#This Row],[Yield (Annualised)]]-$AE$2,100,Table1[[#This Row],[Coupon Frequency2]])*Table1[[#This Row],[Face value]]/100</f>
        <v>1252.7050417667258</v>
      </c>
      <c r="AF589" s="28">
        <f>(Table1[[#This Row],[P (+ shock)]]+Table1[[#This Row],[P (-shock)]]-2*Table1[[#This Row],[Ask Price]])/(2*Table1[[#This Row],[Ask Price]]*($AE$2^2))</f>
        <v>52.464178490359963</v>
      </c>
    </row>
    <row r="590" spans="1:32" x14ac:dyDescent="0.25">
      <c r="A590" s="21" t="s">
        <v>1224</v>
      </c>
      <c r="B590" s="3" t="s">
        <v>1225</v>
      </c>
      <c r="C590" s="3" t="s">
        <v>19</v>
      </c>
      <c r="D590" s="4">
        <v>45282</v>
      </c>
      <c r="E590" s="4">
        <v>48935</v>
      </c>
      <c r="F590" s="3">
        <v>100000</v>
      </c>
      <c r="G590" s="3" t="s">
        <v>20</v>
      </c>
      <c r="H590" s="3">
        <v>107239.54</v>
      </c>
      <c r="I590" s="3" t="s">
        <v>20</v>
      </c>
      <c r="J590" s="3">
        <v>107.23954000000001</v>
      </c>
      <c r="K590" s="3">
        <v>10</v>
      </c>
      <c r="L590" s="5">
        <v>8.4000000000000005E-2</v>
      </c>
      <c r="M590" s="3" t="s">
        <v>21</v>
      </c>
      <c r="N590" s="3">
        <v>3018</v>
      </c>
      <c r="O590" s="6">
        <f>Table1[[#This Row],[Current coupon %]]*Table1[[#This Row],[Face value]]/Table1[[#This Row],[Ask Price]]</f>
        <v>7.8329317712478072E-2</v>
      </c>
      <c r="P590" s="3"/>
      <c r="Q590" s="3" t="s">
        <v>22</v>
      </c>
      <c r="R590">
        <f t="shared" si="9"/>
        <v>10</v>
      </c>
      <c r="S590" s="22" cm="1">
        <f t="array" ref="S590">_xlfn.IFS(Table1[[#This Row],[Coupon frequency]]="Semi-annual",2,Table1[[#This Row],[Coupon frequency]]="Quarterly",4,Table1[[#This Row],[Coupon frequency]]="Annual",1,Table1[[#This Row],[Coupon frequency]]="Every 4 months",3,Table1[[#This Row],[Coupon frequency]]="Monthly",12)</f>
        <v>1</v>
      </c>
      <c r="T590">
        <f>Table1[[#This Row],[Term to Maturity (Years)]]*Table1[[#This Row],[Coupon Frequency2]]</f>
        <v>10</v>
      </c>
      <c r="U590">
        <f>Table1[[#This Row],[Face value]]*Table1[[#This Row],[Current coupon %]]/Table1[[#This Row],[Coupon Frequency2]]</f>
        <v>8400</v>
      </c>
      <c r="V590" s="23">
        <f>RATE(Table1[[#This Row],[Total No. of Coupons]],Table1[[#This Row],[Coupon Amount]],-Table1[[#This Row],[Ask Price]],Table1[[#This Row],[Face value]])</f>
        <v>7.352398085161746E-2</v>
      </c>
      <c r="W590" s="24">
        <f>Table1[[#This Row],[IRR]]*Table1[[#This Row],[Coupon Frequency2]]</f>
        <v>7.352398085161746E-2</v>
      </c>
      <c r="X590" s="25" cm="1">
        <f t="array" ref="X59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0" s="26">
        <f>DURATION(Table1[[#This Row],[Issue date]],Table1[[#This Row],[Maturity date]],Table1[[#This Row],[Current coupon %]],Table1[[#This Row],[Yield (Annualised)]],Table1[[#This Row],[Coupon Frequency2]])</f>
        <v>7.2499679801473835</v>
      </c>
      <c r="Z590" s="26">
        <f>Table1[[#This Row],[Macaulay Duration in Years]]/(1+Table1[[#This Row],[IRR]])</f>
        <v>6.7534289959652742</v>
      </c>
      <c r="AA590" s="27">
        <f>VLOOKUP(Table1[[#This Row],[Yield Cluster]],'[1]Cluster Details'!$B$3:$C$16,2,0)</f>
        <v>7.8548801574189142E-2</v>
      </c>
      <c r="AB590" s="28">
        <f>PRICE(Table1[[#This Row],[Issue date]],Table1[[#This Row],[Maturity date]],Table1[[#This Row],[Current coupon %]],Table1[[#This Row],[Average Cluster Yield]],100,Table1[[#This Row],[Coupon Frequency2]])*Table1[[#This Row],[Face value]]/100</f>
        <v>103681.86238666192</v>
      </c>
      <c r="AC590" s="27" t="str">
        <f>IF(Table1[[#This Row],[Ask Price]]&gt;Table1[[#This Row],[Calculated Bond Price]],"Rich","Cheap")</f>
        <v>Rich</v>
      </c>
      <c r="AD590" s="28">
        <f>PRICE(Table1[[#This Row],[Issue date]],Table1[[#This Row],[Maturity date]],Table1[[#This Row],[Current coupon %]],Table1[[#This Row],[Yield (Annualised)]]+$AE$2,100,Table1[[#This Row],[Coupon Frequency2]])*Table1[[#This Row],[Face value]]/100</f>
        <v>100314.3973323496</v>
      </c>
      <c r="AE590" s="28">
        <f>PRICE(Table1[[#This Row],[Issue date]],Table1[[#This Row],[Maturity date]],Table1[[#This Row],[Current coupon %]],Table1[[#This Row],[Yield (Annualised)]]-$AE$2,100,Table1[[#This Row],[Coupon Frequency2]])*Table1[[#This Row],[Face value]]/100</f>
        <v>114822.07599467132</v>
      </c>
      <c r="AF590" s="28">
        <f>(Table1[[#This Row],[P (+ shock)]]+Table1[[#This Row],[P (-shock)]]-2*Table1[[#This Row],[Ask Price]])/(2*Table1[[#This Row],[Ask Price]]*($AE$2^2))</f>
        <v>30.650696889456668</v>
      </c>
    </row>
    <row r="591" spans="1:32" x14ac:dyDescent="0.25">
      <c r="A591" s="21" t="s">
        <v>1226</v>
      </c>
      <c r="B591" s="3" t="s">
        <v>1227</v>
      </c>
      <c r="C591" s="3" t="s">
        <v>19</v>
      </c>
      <c r="D591" s="4">
        <v>45042</v>
      </c>
      <c r="E591" s="4">
        <v>46869</v>
      </c>
      <c r="F591" s="3">
        <v>100000</v>
      </c>
      <c r="G591" s="3" t="s">
        <v>20</v>
      </c>
      <c r="H591" s="3">
        <v>103455.67999999999</v>
      </c>
      <c r="I591" s="3" t="s">
        <v>20</v>
      </c>
      <c r="J591" s="3">
        <v>103.45567999999901</v>
      </c>
      <c r="K591" s="3">
        <v>150</v>
      </c>
      <c r="L591" s="5">
        <v>8.1000000000000003E-2</v>
      </c>
      <c r="M591" s="3" t="s">
        <v>21</v>
      </c>
      <c r="N591" s="3">
        <v>952</v>
      </c>
      <c r="O591" s="6">
        <f>Table1[[#This Row],[Current coupon %]]*Table1[[#This Row],[Face value]]/Table1[[#This Row],[Ask Price]]</f>
        <v>7.8294396209082004E-2</v>
      </c>
      <c r="P591" s="3"/>
      <c r="Q591" s="3" t="s">
        <v>22</v>
      </c>
      <c r="R591">
        <f t="shared" si="9"/>
        <v>5</v>
      </c>
      <c r="S591" s="22" cm="1">
        <f t="array" ref="S591">_xlfn.IFS(Table1[[#This Row],[Coupon frequency]]="Semi-annual",2,Table1[[#This Row],[Coupon frequency]]="Quarterly",4,Table1[[#This Row],[Coupon frequency]]="Annual",1,Table1[[#This Row],[Coupon frequency]]="Every 4 months",3,Table1[[#This Row],[Coupon frequency]]="Monthly",12)</f>
        <v>1</v>
      </c>
      <c r="T591">
        <f>Table1[[#This Row],[Term to Maturity (Years)]]*Table1[[#This Row],[Coupon Frequency2]]</f>
        <v>5</v>
      </c>
      <c r="U591">
        <f>Table1[[#This Row],[Face value]]*Table1[[#This Row],[Current coupon %]]/Table1[[#This Row],[Coupon Frequency2]]</f>
        <v>8100</v>
      </c>
      <c r="V591" s="23">
        <f>RATE(Table1[[#This Row],[Total No. of Coupons]],Table1[[#This Row],[Coupon Amount]],-Table1[[#This Row],[Ask Price]],Table1[[#This Row],[Face value]])</f>
        <v>7.2515083694198401E-2</v>
      </c>
      <c r="W591" s="24">
        <f>Table1[[#This Row],[IRR]]*Table1[[#This Row],[Coupon Frequency2]]</f>
        <v>7.2515083694198401E-2</v>
      </c>
      <c r="X591" s="25" cm="1">
        <f t="array" ref="X59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1" s="26">
        <f>DURATION(Table1[[#This Row],[Issue date]],Table1[[#This Row],[Maturity date]],Table1[[#This Row],[Current coupon %]],Table1[[#This Row],[Yield (Annualised)]],Table1[[#This Row],[Coupon Frequency2]])</f>
        <v>4.317703962551807</v>
      </c>
      <c r="Z591" s="26">
        <f>Table1[[#This Row],[Macaulay Duration in Years]]/(1+Table1[[#This Row],[IRR]])</f>
        <v>4.0257745818173456</v>
      </c>
      <c r="AA591" s="27">
        <f>VLOOKUP(Table1[[#This Row],[Yield Cluster]],'[1]Cluster Details'!$B$3:$C$16,2,0)</f>
        <v>7.8548801574189142E-2</v>
      </c>
      <c r="AB591" s="28">
        <f>PRICE(Table1[[#This Row],[Issue date]],Table1[[#This Row],[Maturity date]],Table1[[#This Row],[Current coupon %]],Table1[[#This Row],[Average Cluster Yield]],100,Table1[[#This Row],[Coupon Frequency2]])*Table1[[#This Row],[Face value]]/100</f>
        <v>100982.44722622371</v>
      </c>
      <c r="AC591" s="27" t="str">
        <f>IF(Table1[[#This Row],[Ask Price]]&gt;Table1[[#This Row],[Calculated Bond Price]],"Rich","Cheap")</f>
        <v>Rich</v>
      </c>
      <c r="AD591" s="28">
        <f>PRICE(Table1[[#This Row],[Issue date]],Table1[[#This Row],[Maturity date]],Table1[[#This Row],[Current coupon %]],Table1[[#This Row],[Yield (Annualised)]]+$AE$2,100,Table1[[#This Row],[Coupon Frequency2]])*Table1[[#This Row],[Face value]]/100</f>
        <v>99399.059853239247</v>
      </c>
      <c r="AE591" s="28">
        <f>PRICE(Table1[[#This Row],[Issue date]],Table1[[#This Row],[Maturity date]],Table1[[#This Row],[Current coupon %]],Table1[[#This Row],[Yield (Annualised)]]-$AE$2,100,Table1[[#This Row],[Coupon Frequency2]])*Table1[[#This Row],[Face value]]/100</f>
        <v>107733.53116040368</v>
      </c>
      <c r="AF591" s="28">
        <f>(Table1[[#This Row],[P (+ shock)]]+Table1[[#This Row],[P (-shock)]]-2*Table1[[#This Row],[Ask Price]])/(2*Table1[[#This Row],[Ask Price]]*($AE$2^2))</f>
        <v>10.692067059195985</v>
      </c>
    </row>
    <row r="592" spans="1:32" x14ac:dyDescent="0.25">
      <c r="A592" s="21" t="s">
        <v>1228</v>
      </c>
      <c r="B592" s="3" t="s">
        <v>1229</v>
      </c>
      <c r="C592" s="3" t="s">
        <v>19</v>
      </c>
      <c r="D592" s="4">
        <v>44145</v>
      </c>
      <c r="E592" s="4">
        <v>47795</v>
      </c>
      <c r="F592" s="3">
        <v>500000</v>
      </c>
      <c r="G592" s="3" t="s">
        <v>20</v>
      </c>
      <c r="H592" s="3">
        <v>480000</v>
      </c>
      <c r="I592" s="3" t="s">
        <v>20</v>
      </c>
      <c r="J592" s="3">
        <v>96</v>
      </c>
      <c r="K592" s="3">
        <v>6</v>
      </c>
      <c r="L592" s="5">
        <v>7.4999999999999997E-2</v>
      </c>
      <c r="M592" s="3" t="s">
        <v>21</v>
      </c>
      <c r="N592" s="3">
        <v>1878</v>
      </c>
      <c r="O592" s="6">
        <f>Table1[[#This Row],[Current coupon %]]*Table1[[#This Row],[Face value]]/Table1[[#This Row],[Ask Price]]</f>
        <v>7.8125E-2</v>
      </c>
      <c r="P592" s="3"/>
      <c r="Q592" s="3" t="s">
        <v>22</v>
      </c>
      <c r="R592">
        <f t="shared" si="9"/>
        <v>10</v>
      </c>
      <c r="S592" s="22" cm="1">
        <f t="array" ref="S592">_xlfn.IFS(Table1[[#This Row],[Coupon frequency]]="Semi-annual",2,Table1[[#This Row],[Coupon frequency]]="Quarterly",4,Table1[[#This Row],[Coupon frequency]]="Annual",1,Table1[[#This Row],[Coupon frequency]]="Every 4 months",3,Table1[[#This Row],[Coupon frequency]]="Monthly",12)</f>
        <v>1</v>
      </c>
      <c r="T592">
        <f>Table1[[#This Row],[Term to Maturity (Years)]]*Table1[[#This Row],[Coupon Frequency2]]</f>
        <v>10</v>
      </c>
      <c r="U592">
        <f>Table1[[#This Row],[Face value]]*Table1[[#This Row],[Current coupon %]]/Table1[[#This Row],[Coupon Frequency2]]</f>
        <v>37500</v>
      </c>
      <c r="V592" s="23">
        <f>RATE(Table1[[#This Row],[Total No. of Coupons]],Table1[[#This Row],[Coupon Amount]],-Table1[[#This Row],[Ask Price]],Table1[[#This Row],[Face value]])</f>
        <v>8.0987765367752415E-2</v>
      </c>
      <c r="W592" s="24">
        <f>Table1[[#This Row],[IRR]]*Table1[[#This Row],[Coupon Frequency2]]</f>
        <v>8.0987765367752415E-2</v>
      </c>
      <c r="X592" s="25" cm="1">
        <f t="array" ref="X59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2" s="26">
        <f>DURATION(Table1[[#This Row],[Issue date]],Table1[[#This Row],[Maturity date]],Table1[[#This Row],[Current coupon %]],Table1[[#This Row],[Yield (Annualised)]],Table1[[#This Row],[Coupon Frequency2]])</f>
        <v>7.3139760267584482</v>
      </c>
      <c r="Z592" s="26">
        <f>Table1[[#This Row],[Macaulay Duration in Years]]/(1+Table1[[#This Row],[IRR]])</f>
        <v>6.7660118468318009</v>
      </c>
      <c r="AA592" s="27">
        <f>VLOOKUP(Table1[[#This Row],[Yield Cluster]],'[1]Cluster Details'!$B$3:$C$16,2,0)</f>
        <v>7.8548801574189142E-2</v>
      </c>
      <c r="AB592" s="28">
        <f>PRICE(Table1[[#This Row],[Issue date]],Table1[[#This Row],[Maturity date]],Table1[[#This Row],[Current coupon %]],Table1[[#This Row],[Average Cluster Yield]],100,Table1[[#This Row],[Coupon Frequency2]])*Table1[[#This Row],[Face value]]/100</f>
        <v>488012.01752736454</v>
      </c>
      <c r="AC592" s="27" t="str">
        <f>IF(Table1[[#This Row],[Ask Price]]&gt;Table1[[#This Row],[Calculated Bond Price]],"Rich","Cheap")</f>
        <v>Cheap</v>
      </c>
      <c r="AD592" s="28">
        <f>PRICE(Table1[[#This Row],[Issue date]],Table1[[#This Row],[Maturity date]],Table1[[#This Row],[Current coupon %]],Table1[[#This Row],[Yield (Annualised)]]+$AE$2,100,Table1[[#This Row],[Coupon Frequency2]])*Table1[[#This Row],[Face value]]/100</f>
        <v>448929.20082364121</v>
      </c>
      <c r="AE592" s="28">
        <f>PRICE(Table1[[#This Row],[Issue date]],Table1[[#This Row],[Maturity date]],Table1[[#This Row],[Current coupon %]],Table1[[#This Row],[Yield (Annualised)]]-$AE$2,100,Table1[[#This Row],[Coupon Frequency2]])*Table1[[#This Row],[Face value]]/100</f>
        <v>514013.5699689489</v>
      </c>
      <c r="AF592" s="28">
        <f>(Table1[[#This Row],[P (+ shock)]]+Table1[[#This Row],[P (-shock)]]-2*Table1[[#This Row],[Ask Price]])/(2*Table1[[#This Row],[Ask Price]]*($AE$2^2))</f>
        <v>30.653862422813592</v>
      </c>
    </row>
    <row r="593" spans="1:32" x14ac:dyDescent="0.25">
      <c r="A593" s="21" t="s">
        <v>1230</v>
      </c>
      <c r="B593" s="3" t="s">
        <v>1231</v>
      </c>
      <c r="C593" s="3" t="s">
        <v>19</v>
      </c>
      <c r="D593" s="4">
        <v>44995</v>
      </c>
      <c r="E593" s="4">
        <v>46122</v>
      </c>
      <c r="F593" s="3">
        <v>1000</v>
      </c>
      <c r="G593" s="3" t="s">
        <v>20</v>
      </c>
      <c r="H593" s="3">
        <v>1025</v>
      </c>
      <c r="I593" s="3" t="s">
        <v>20</v>
      </c>
      <c r="J593" s="3">
        <v>102.49999999999901</v>
      </c>
      <c r="K593" s="3">
        <v>50</v>
      </c>
      <c r="L593" s="5">
        <v>0.08</v>
      </c>
      <c r="M593" s="3" t="s">
        <v>21</v>
      </c>
      <c r="N593" s="3">
        <v>205</v>
      </c>
      <c r="O593" s="6">
        <f>Table1[[#This Row],[Current coupon %]]*Table1[[#This Row],[Face value]]/Table1[[#This Row],[Ask Price]]</f>
        <v>7.8048780487804878E-2</v>
      </c>
      <c r="P593" s="3" t="s">
        <v>97</v>
      </c>
      <c r="Q593" s="3" t="s">
        <v>22</v>
      </c>
      <c r="R593">
        <f t="shared" si="9"/>
        <v>3</v>
      </c>
      <c r="S593" s="22" cm="1">
        <f t="array" ref="S593">_xlfn.IFS(Table1[[#This Row],[Coupon frequency]]="Semi-annual",2,Table1[[#This Row],[Coupon frequency]]="Quarterly",4,Table1[[#This Row],[Coupon frequency]]="Annual",1,Table1[[#This Row],[Coupon frequency]]="Every 4 months",3,Table1[[#This Row],[Coupon frequency]]="Monthly",12)</f>
        <v>1</v>
      </c>
      <c r="T593">
        <f>Table1[[#This Row],[Term to Maturity (Years)]]*Table1[[#This Row],[Coupon Frequency2]]</f>
        <v>3</v>
      </c>
      <c r="U593">
        <f>Table1[[#This Row],[Face value]]*Table1[[#This Row],[Current coupon %]]/Table1[[#This Row],[Coupon Frequency2]]</f>
        <v>80</v>
      </c>
      <c r="V593" s="23">
        <f>RATE(Table1[[#This Row],[Total No. of Coupons]],Table1[[#This Row],[Coupon Amount]],-Table1[[#This Row],[Ask Price]],Table1[[#This Row],[Face value]])</f>
        <v>7.0465603502500779E-2</v>
      </c>
      <c r="W593" s="24">
        <f>Table1[[#This Row],[IRR]]*Table1[[#This Row],[Coupon Frequency2]]</f>
        <v>7.0465603502500779E-2</v>
      </c>
      <c r="X593" s="25" cm="1">
        <f t="array" ref="X59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3" s="26">
        <f>DURATION(Table1[[#This Row],[Issue date]],Table1[[#This Row],[Maturity date]],Table1[[#This Row],[Current coupon %]],Table1[[#This Row],[Yield (Annualised)]],Table1[[#This Row],[Coupon Frequency2]])</f>
        <v>2.6676935170899787</v>
      </c>
      <c r="Z593" s="26">
        <f>Table1[[#This Row],[Macaulay Duration in Years]]/(1+Table1[[#This Row],[IRR]])</f>
        <v>2.4920870958968151</v>
      </c>
      <c r="AA593" s="27">
        <f>VLOOKUP(Table1[[#This Row],[Yield Cluster]],'[1]Cluster Details'!$B$3:$C$16,2,0)</f>
        <v>7.8548801574189142E-2</v>
      </c>
      <c r="AB593" s="28">
        <f>PRICE(Table1[[#This Row],[Issue date]],Table1[[#This Row],[Maturity date]],Table1[[#This Row],[Current coupon %]],Table1[[#This Row],[Average Cluster Yield]],100,Table1[[#This Row],[Coupon Frequency2]])*Table1[[#This Row],[Face value]]/100</f>
        <v>1003.6087242916212</v>
      </c>
      <c r="AC593" s="27" t="str">
        <f>IF(Table1[[#This Row],[Ask Price]]&gt;Table1[[#This Row],[Calculated Bond Price]],"Rich","Cheap")</f>
        <v>Rich</v>
      </c>
      <c r="AD593" s="28">
        <f>PRICE(Table1[[#This Row],[Issue date]],Table1[[#This Row],[Maturity date]],Table1[[#This Row],[Current coupon %]],Table1[[#This Row],[Yield (Annualised)]]+$AE$2,100,Table1[[#This Row],[Coupon Frequency2]])*Table1[[#This Row],[Face value]]/100</f>
        <v>998.53260276772085</v>
      </c>
      <c r="AE593" s="28">
        <f>PRICE(Table1[[#This Row],[Issue date]],Table1[[#This Row],[Maturity date]],Table1[[#This Row],[Current coupon %]],Table1[[#This Row],[Yield (Annualised)]]-$AE$2,100,Table1[[#This Row],[Coupon Frequency2]])*Table1[[#This Row],[Face value]]/100</f>
        <v>1053.3119585416143</v>
      </c>
      <c r="AF593" s="28">
        <f>(Table1[[#This Row],[P (+ shock)]]+Table1[[#This Row],[P (-shock)]]-2*Table1[[#This Row],[Ask Price]])/(2*Table1[[#This Row],[Ask Price]]*($AE$2^2))</f>
        <v>8.9978600455385553</v>
      </c>
    </row>
    <row r="594" spans="1:32" x14ac:dyDescent="0.25">
      <c r="A594" s="21" t="s">
        <v>1232</v>
      </c>
      <c r="B594" s="3" t="s">
        <v>1233</v>
      </c>
      <c r="C594" s="3" t="s">
        <v>19</v>
      </c>
      <c r="D594" s="4">
        <v>43990</v>
      </c>
      <c r="E594" s="4">
        <v>47649</v>
      </c>
      <c r="F594" s="3">
        <v>1000000</v>
      </c>
      <c r="G594" s="3" t="s">
        <v>20</v>
      </c>
      <c r="H594" s="3">
        <v>1019999</v>
      </c>
      <c r="I594" s="3" t="s">
        <v>20</v>
      </c>
      <c r="J594" s="3">
        <v>101.9999</v>
      </c>
      <c r="K594" s="3">
        <v>6</v>
      </c>
      <c r="L594" s="5">
        <v>7.9600000000000004E-2</v>
      </c>
      <c r="M594" s="3" t="s">
        <v>21</v>
      </c>
      <c r="N594" s="3">
        <v>1732</v>
      </c>
      <c r="O594" s="6">
        <f>Table1[[#This Row],[Current coupon %]]*Table1[[#This Row],[Face value]]/Table1[[#This Row],[Ask Price]]</f>
        <v>7.803929219538451E-2</v>
      </c>
      <c r="P594" s="3"/>
      <c r="Q594" s="3" t="s">
        <v>22</v>
      </c>
      <c r="R594">
        <f t="shared" si="9"/>
        <v>10</v>
      </c>
      <c r="S594" s="22" cm="1">
        <f t="array" ref="S594">_xlfn.IFS(Table1[[#This Row],[Coupon frequency]]="Semi-annual",2,Table1[[#This Row],[Coupon frequency]]="Quarterly",4,Table1[[#This Row],[Coupon frequency]]="Annual",1,Table1[[#This Row],[Coupon frequency]]="Every 4 months",3,Table1[[#This Row],[Coupon frequency]]="Monthly",12)</f>
        <v>1</v>
      </c>
      <c r="T594">
        <f>Table1[[#This Row],[Term to Maturity (Years)]]*Table1[[#This Row],[Coupon Frequency2]]</f>
        <v>10</v>
      </c>
      <c r="U594">
        <f>Table1[[#This Row],[Face value]]*Table1[[#This Row],[Current coupon %]]/Table1[[#This Row],[Coupon Frequency2]]</f>
        <v>79600</v>
      </c>
      <c r="V594" s="23">
        <f>RATE(Table1[[#This Row],[Total No. of Coupons]],Table1[[#This Row],[Coupon Amount]],-Table1[[#This Row],[Ask Price]],Table1[[#This Row],[Face value]])</f>
        <v>7.6664247741148217E-2</v>
      </c>
      <c r="W594" s="24">
        <f>Table1[[#This Row],[IRR]]*Table1[[#This Row],[Coupon Frequency2]]</f>
        <v>7.6664247741148217E-2</v>
      </c>
      <c r="X594" s="25" cm="1">
        <f t="array" ref="X59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4" s="26">
        <f>DURATION(Table1[[#This Row],[Issue date]],Table1[[#This Row],[Maturity date]],Table1[[#This Row],[Current coupon %]],Table1[[#This Row],[Yield (Annualised)]],Table1[[#This Row],[Coupon Frequency2]])</f>
        <v>6.7786309833714178</v>
      </c>
      <c r="Z594" s="26">
        <f>Table1[[#This Row],[Macaulay Duration in Years]]/(1+Table1[[#This Row],[IRR]])</f>
        <v>6.2959562348179112</v>
      </c>
      <c r="AA594" s="27">
        <f>VLOOKUP(Table1[[#This Row],[Yield Cluster]],'[1]Cluster Details'!$B$3:$C$16,2,0)</f>
        <v>7.8548801574189142E-2</v>
      </c>
      <c r="AB594" s="28">
        <f>PRICE(Table1[[#This Row],[Issue date]],Table1[[#This Row],[Maturity date]],Table1[[#This Row],[Current coupon %]],Table1[[#This Row],[Average Cluster Yield]],100,Table1[[#This Row],[Coupon Frequency2]])*Table1[[#This Row],[Face value]]/100</f>
        <v>1007051.1868097733</v>
      </c>
      <c r="AC594" s="27" t="str">
        <f>IF(Table1[[#This Row],[Ask Price]]&gt;Table1[[#This Row],[Calculated Bond Price]],"Rich","Cheap")</f>
        <v>Rich</v>
      </c>
      <c r="AD594" s="28">
        <f>PRICE(Table1[[#This Row],[Issue date]],Table1[[#This Row],[Maturity date]],Table1[[#This Row],[Current coupon %]],Table1[[#This Row],[Yield (Annualised)]]+$AE$2,100,Table1[[#This Row],[Coupon Frequency2]])*Table1[[#This Row],[Face value]]/100</f>
        <v>953869.51693118736</v>
      </c>
      <c r="AE594" s="28">
        <f>PRICE(Table1[[#This Row],[Issue date]],Table1[[#This Row],[Maturity date]],Table1[[#This Row],[Current coupon %]],Table1[[#This Row],[Yield (Annualised)]]-$AE$2,100,Table1[[#This Row],[Coupon Frequency2]])*Table1[[#This Row],[Face value]]/100</f>
        <v>1092351.1124752499</v>
      </c>
      <c r="AF594" s="28">
        <f>(Table1[[#This Row],[P (+ shock)]]+Table1[[#This Row],[P (-shock)]]-2*Table1[[#This Row],[Ask Price]])/(2*Table1[[#This Row],[Ask Price]]*($AE$2^2))</f>
        <v>30.503115230687857</v>
      </c>
    </row>
    <row r="595" spans="1:32" x14ac:dyDescent="0.25">
      <c r="A595" s="21" t="s">
        <v>1234</v>
      </c>
      <c r="B595" s="3" t="s">
        <v>1235</v>
      </c>
      <c r="C595" s="3" t="s">
        <v>19</v>
      </c>
      <c r="D595" s="4">
        <v>43510</v>
      </c>
      <c r="E595" s="4">
        <v>47163</v>
      </c>
      <c r="F595" s="3">
        <v>1000000</v>
      </c>
      <c r="G595" s="3" t="s">
        <v>20</v>
      </c>
      <c r="H595" s="3">
        <v>1055977</v>
      </c>
      <c r="I595" s="3" t="s">
        <v>20</v>
      </c>
      <c r="J595" s="3">
        <v>105.59769999999899</v>
      </c>
      <c r="K595" s="3">
        <v>155</v>
      </c>
      <c r="L595" s="5">
        <v>8.2400000000000001E-2</v>
      </c>
      <c r="M595" s="3" t="s">
        <v>53</v>
      </c>
      <c r="N595" s="3">
        <v>1246</v>
      </c>
      <c r="O595" s="6">
        <f>Table1[[#This Row],[Current coupon %]]*Table1[[#This Row],[Face value]]/Table1[[#This Row],[Ask Price]]</f>
        <v>7.803200259096553E-2</v>
      </c>
      <c r="P595" s="3" t="s">
        <v>297</v>
      </c>
      <c r="Q595" s="3" t="s">
        <v>22</v>
      </c>
      <c r="R595">
        <f t="shared" si="9"/>
        <v>10</v>
      </c>
      <c r="S595" s="22" cm="1">
        <f t="array" ref="S595">_xlfn.IFS(Table1[[#This Row],[Coupon frequency]]="Semi-annual",2,Table1[[#This Row],[Coupon frequency]]="Quarterly",4,Table1[[#This Row],[Coupon frequency]]="Annual",1,Table1[[#This Row],[Coupon frequency]]="Every 4 months",3,Table1[[#This Row],[Coupon frequency]]="Monthly",12)</f>
        <v>2</v>
      </c>
      <c r="T595">
        <f>Table1[[#This Row],[Term to Maturity (Years)]]*Table1[[#This Row],[Coupon Frequency2]]</f>
        <v>20</v>
      </c>
      <c r="U595">
        <f>Table1[[#This Row],[Face value]]*Table1[[#This Row],[Current coupon %]]/Table1[[#This Row],[Coupon Frequency2]]</f>
        <v>41200</v>
      </c>
      <c r="V595" s="23">
        <f>RATE(Table1[[#This Row],[Total No. of Coupons]],Table1[[#This Row],[Coupon Amount]],-Table1[[#This Row],[Ask Price]],Table1[[#This Row],[Face value]])</f>
        <v>3.7183192572950982E-2</v>
      </c>
      <c r="W595" s="24">
        <f>Table1[[#This Row],[IRR]]*Table1[[#This Row],[Coupon Frequency2]]</f>
        <v>7.4366385145901964E-2</v>
      </c>
      <c r="X595" s="25" cm="1">
        <f t="array" ref="X59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5" s="26">
        <f>DURATION(Table1[[#This Row],[Issue date]],Table1[[#This Row],[Maturity date]],Table1[[#This Row],[Current coupon %]],Table1[[#This Row],[Yield (Annualised)]],Table1[[#This Row],[Coupon Frequency2]])</f>
        <v>7.0902458110970263</v>
      </c>
      <c r="Z595" s="26">
        <f>Table1[[#This Row],[Macaulay Duration in Years]]/(1+Table1[[#This Row],[IRR]])</f>
        <v>6.8360593016438891</v>
      </c>
      <c r="AA595" s="27">
        <f>VLOOKUP(Table1[[#This Row],[Yield Cluster]],'[1]Cluster Details'!$B$3:$C$16,2,0)</f>
        <v>7.8548801574189142E-2</v>
      </c>
      <c r="AB595" s="28">
        <f>PRICE(Table1[[#This Row],[Issue date]],Table1[[#This Row],[Maturity date]],Table1[[#This Row],[Current coupon %]],Table1[[#This Row],[Average Cluster Yield]],100,Table1[[#This Row],[Coupon Frequency2]])*Table1[[#This Row],[Face value]]/100</f>
        <v>1026338.4715917556</v>
      </c>
      <c r="AC595" s="27" t="str">
        <f>IF(Table1[[#This Row],[Ask Price]]&gt;Table1[[#This Row],[Calculated Bond Price]],"Rich","Cheap")</f>
        <v>Rich</v>
      </c>
      <c r="AD595" s="28">
        <f>PRICE(Table1[[#This Row],[Issue date]],Table1[[#This Row],[Maturity date]],Table1[[#This Row],[Current coupon %]],Table1[[#This Row],[Yield (Annualised)]]+$AE$2,100,Table1[[#This Row],[Coupon Frequency2]])*Table1[[#This Row],[Face value]]/100</f>
        <v>986892.72988073574</v>
      </c>
      <c r="AE595" s="28">
        <f>PRICE(Table1[[#This Row],[Issue date]],Table1[[#This Row],[Maturity date]],Table1[[#This Row],[Current coupon %]],Table1[[#This Row],[Yield (Annualised)]]-$AE$2,100,Table1[[#This Row],[Coupon Frequency2]])*Table1[[#This Row],[Face value]]/100</f>
        <v>1131479.1768741498</v>
      </c>
      <c r="AF595" s="28">
        <f>(Table1[[#This Row],[P (+ shock)]]+Table1[[#This Row],[P (-shock)]]-2*Table1[[#This Row],[Ask Price]])/(2*Table1[[#This Row],[Ask Price]]*($AE$2^2))</f>
        <v>30.388477944528148</v>
      </c>
    </row>
    <row r="596" spans="1:32" x14ac:dyDescent="0.25">
      <c r="A596" s="21" t="s">
        <v>1236</v>
      </c>
      <c r="B596" s="3" t="s">
        <v>1237</v>
      </c>
      <c r="C596" s="3" t="s">
        <v>19</v>
      </c>
      <c r="D596" s="4">
        <v>45049</v>
      </c>
      <c r="E596" s="4">
        <v>48702</v>
      </c>
      <c r="F596" s="3">
        <v>100000</v>
      </c>
      <c r="G596" s="3" t="s">
        <v>20</v>
      </c>
      <c r="H596" s="3">
        <v>100000</v>
      </c>
      <c r="I596" s="3" t="s">
        <v>20</v>
      </c>
      <c r="J596" s="3">
        <v>100</v>
      </c>
      <c r="K596" s="3">
        <v>20</v>
      </c>
      <c r="L596" s="5">
        <v>7.8E-2</v>
      </c>
      <c r="M596" s="3" t="s">
        <v>21</v>
      </c>
      <c r="N596" s="3">
        <v>2785</v>
      </c>
      <c r="O596" s="6">
        <f>Table1[[#This Row],[Current coupon %]]*Table1[[#This Row],[Face value]]/Table1[[#This Row],[Ask Price]]</f>
        <v>7.8E-2</v>
      </c>
      <c r="P596" s="3" t="s">
        <v>297</v>
      </c>
      <c r="Q596" s="3" t="s">
        <v>22</v>
      </c>
      <c r="R596">
        <f t="shared" si="9"/>
        <v>10</v>
      </c>
      <c r="S596" s="22" cm="1">
        <f t="array" ref="S596">_xlfn.IFS(Table1[[#This Row],[Coupon frequency]]="Semi-annual",2,Table1[[#This Row],[Coupon frequency]]="Quarterly",4,Table1[[#This Row],[Coupon frequency]]="Annual",1,Table1[[#This Row],[Coupon frequency]]="Every 4 months",3,Table1[[#This Row],[Coupon frequency]]="Monthly",12)</f>
        <v>1</v>
      </c>
      <c r="T596">
        <f>Table1[[#This Row],[Term to Maturity (Years)]]*Table1[[#This Row],[Coupon Frequency2]]</f>
        <v>10</v>
      </c>
      <c r="U596">
        <f>Table1[[#This Row],[Face value]]*Table1[[#This Row],[Current coupon %]]/Table1[[#This Row],[Coupon Frequency2]]</f>
        <v>7800</v>
      </c>
      <c r="V596" s="23">
        <f>RATE(Table1[[#This Row],[Total No. of Coupons]],Table1[[#This Row],[Coupon Amount]],-Table1[[#This Row],[Ask Price]],Table1[[#This Row],[Face value]])</f>
        <v>7.8000000000028005E-2</v>
      </c>
      <c r="W596" s="24">
        <f>Table1[[#This Row],[IRR]]*Table1[[#This Row],[Coupon Frequency2]]</f>
        <v>7.8000000000028005E-2</v>
      </c>
      <c r="X596" s="25" cm="1">
        <f t="array" ref="X59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6" s="26">
        <f>DURATION(Table1[[#This Row],[Issue date]],Table1[[#This Row],[Maturity date]],Table1[[#This Row],[Current coupon %]],Table1[[#This Row],[Yield (Annualised)]],Table1[[#This Row],[Coupon Frequency2]])</f>
        <v>7.2991772314346468</v>
      </c>
      <c r="Z596" s="26">
        <f>Table1[[#This Row],[Macaulay Duration in Years]]/(1+Table1[[#This Row],[IRR]])</f>
        <v>6.7710363927963426</v>
      </c>
      <c r="AA596" s="27">
        <f>VLOOKUP(Table1[[#This Row],[Yield Cluster]],'[1]Cluster Details'!$B$3:$C$16,2,0)</f>
        <v>7.8548801574189142E-2</v>
      </c>
      <c r="AB596" s="28">
        <f>PRICE(Table1[[#This Row],[Issue date]],Table1[[#This Row],[Maturity date]],Table1[[#This Row],[Current coupon %]],Table1[[#This Row],[Average Cluster Yield]],100,Table1[[#This Row],[Coupon Frequency2]])*Table1[[#This Row],[Face value]]/100</f>
        <v>99629.327036752118</v>
      </c>
      <c r="AC596" s="27" t="str">
        <f>IF(Table1[[#This Row],[Ask Price]]&gt;Table1[[#This Row],[Calculated Bond Price]],"Rich","Cheap")</f>
        <v>Rich</v>
      </c>
      <c r="AD596" s="28">
        <f>PRICE(Table1[[#This Row],[Issue date]],Table1[[#This Row],[Maturity date]],Table1[[#This Row],[Current coupon %]],Table1[[#This Row],[Yield (Annualised)]]+$AE$2,100,Table1[[#This Row],[Coupon Frequency2]])*Table1[[#This Row],[Face value]]/100</f>
        <v>93525.457489277425</v>
      </c>
      <c r="AE596" s="28">
        <f>PRICE(Table1[[#This Row],[Issue date]],Table1[[#This Row],[Maturity date]],Table1[[#This Row],[Current coupon %]],Table1[[#This Row],[Yield (Annualised)]]-$AE$2,100,Table1[[#This Row],[Coupon Frequency2]])*Table1[[#This Row],[Face value]]/100</f>
        <v>107088.9769780544</v>
      </c>
      <c r="AF596" s="28">
        <f>(Table1[[#This Row],[P (+ shock)]]+Table1[[#This Row],[P (-shock)]]-2*Table1[[#This Row],[Ask Price]])/(2*Table1[[#This Row],[Ask Price]]*($AE$2^2))</f>
        <v>30.721723366591323</v>
      </c>
    </row>
    <row r="597" spans="1:32" x14ac:dyDescent="0.25">
      <c r="A597" s="21" t="s">
        <v>1238</v>
      </c>
      <c r="B597" s="3" t="s">
        <v>1239</v>
      </c>
      <c r="C597" s="3" t="s">
        <v>19</v>
      </c>
      <c r="D597" s="4">
        <v>44883</v>
      </c>
      <c r="E597" s="4">
        <v>46709</v>
      </c>
      <c r="F597" s="3">
        <v>1000000</v>
      </c>
      <c r="G597" s="3" t="s">
        <v>20</v>
      </c>
      <c r="H597" s="3">
        <v>1023422</v>
      </c>
      <c r="I597" s="3" t="s">
        <v>20</v>
      </c>
      <c r="J597" s="3">
        <v>102.34220000000001</v>
      </c>
      <c r="K597" s="3">
        <v>2</v>
      </c>
      <c r="L597" s="5">
        <v>7.980000000000001E-2</v>
      </c>
      <c r="M597" s="3" t="s">
        <v>21</v>
      </c>
      <c r="N597" s="3">
        <v>792</v>
      </c>
      <c r="O597" s="6">
        <f>Table1[[#This Row],[Current coupon %]]*Table1[[#This Row],[Face value]]/Table1[[#This Row],[Ask Price]]</f>
        <v>7.7973699998632059E-2</v>
      </c>
      <c r="P597" s="3"/>
      <c r="Q597" s="3" t="s">
        <v>22</v>
      </c>
      <c r="R597">
        <f t="shared" si="9"/>
        <v>5</v>
      </c>
      <c r="S597" s="22" cm="1">
        <f t="array" ref="S597">_xlfn.IFS(Table1[[#This Row],[Coupon frequency]]="Semi-annual",2,Table1[[#This Row],[Coupon frequency]]="Quarterly",4,Table1[[#This Row],[Coupon frequency]]="Annual",1,Table1[[#This Row],[Coupon frequency]]="Every 4 months",3,Table1[[#This Row],[Coupon frequency]]="Monthly",12)</f>
        <v>1</v>
      </c>
      <c r="T597">
        <f>Table1[[#This Row],[Term to Maturity (Years)]]*Table1[[#This Row],[Coupon Frequency2]]</f>
        <v>5</v>
      </c>
      <c r="U597">
        <f>Table1[[#This Row],[Face value]]*Table1[[#This Row],[Current coupon %]]/Table1[[#This Row],[Coupon Frequency2]]</f>
        <v>79800.000000000015</v>
      </c>
      <c r="V597" s="23">
        <f>RATE(Table1[[#This Row],[Total No. of Coupons]],Table1[[#This Row],[Coupon Amount]],-Table1[[#This Row],[Ask Price]],Table1[[#This Row],[Face value]])</f>
        <v>7.4025880542224962E-2</v>
      </c>
      <c r="W597" s="24">
        <f>Table1[[#This Row],[IRR]]*Table1[[#This Row],[Coupon Frequency2]]</f>
        <v>7.4025880542224962E-2</v>
      </c>
      <c r="X597" s="25" cm="1">
        <f t="array" ref="X59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7" s="26">
        <f>DURATION(Table1[[#This Row],[Issue date]],Table1[[#This Row],[Maturity date]],Table1[[#This Row],[Current coupon %]],Table1[[#This Row],[Yield (Annualised)]],Table1[[#This Row],[Coupon Frequency2]])</f>
        <v>4.3223430124369573</v>
      </c>
      <c r="Z597" s="26">
        <f>Table1[[#This Row],[Macaulay Duration in Years]]/(1+Table1[[#This Row],[IRR]])</f>
        <v>4.024430966463127</v>
      </c>
      <c r="AA597" s="27">
        <f>VLOOKUP(Table1[[#This Row],[Yield Cluster]],'[1]Cluster Details'!$B$3:$C$16,2,0)</f>
        <v>7.8548801574189142E-2</v>
      </c>
      <c r="AB597" s="28">
        <f>PRICE(Table1[[#This Row],[Issue date]],Table1[[#This Row],[Maturity date]],Table1[[#This Row],[Current coupon %]],Table1[[#This Row],[Average Cluster Yield]],100,Table1[[#This Row],[Coupon Frequency2]])*Table1[[#This Row],[Face value]]/100</f>
        <v>1005014.838496752</v>
      </c>
      <c r="AC597" s="27" t="str">
        <f>IF(Table1[[#This Row],[Ask Price]]&gt;Table1[[#This Row],[Calculated Bond Price]],"Rich","Cheap")</f>
        <v>Rich</v>
      </c>
      <c r="AD597" s="28">
        <f>PRICE(Table1[[#This Row],[Issue date]],Table1[[#This Row],[Maturity date]],Table1[[#This Row],[Current coupon %]],Table1[[#This Row],[Yield (Annualised)]]+$AE$2,100,Table1[[#This Row],[Coupon Frequency2]])*Table1[[#This Row],[Face value]]/100</f>
        <v>983304.81052668986</v>
      </c>
      <c r="AE597" s="28">
        <f>PRICE(Table1[[#This Row],[Issue date]],Table1[[#This Row],[Maturity date]],Table1[[#This Row],[Current coupon %]],Table1[[#This Row],[Yield (Annualised)]]-$AE$2,100,Table1[[#This Row],[Coupon Frequency2]])*Table1[[#This Row],[Face value]]/100</f>
        <v>1065724.8807550587</v>
      </c>
      <c r="AF597" s="28">
        <f>(Table1[[#This Row],[P (+ shock)]]+Table1[[#This Row],[P (-shock)]]-2*Table1[[#This Row],[Ask Price]])/(2*Table1[[#This Row],[Ask Price]]*($AE$2^2))</f>
        <v>10.678348138639143</v>
      </c>
    </row>
    <row r="598" spans="1:32" x14ac:dyDescent="0.25">
      <c r="A598" s="21" t="s">
        <v>1240</v>
      </c>
      <c r="B598" s="3" t="s">
        <v>1241</v>
      </c>
      <c r="C598" s="3" t="s">
        <v>19</v>
      </c>
      <c r="D598" s="4">
        <v>44732</v>
      </c>
      <c r="E598" s="4">
        <v>48317</v>
      </c>
      <c r="F598" s="3">
        <v>1000000</v>
      </c>
      <c r="G598" s="3" t="s">
        <v>20</v>
      </c>
      <c r="H598" s="3">
        <v>1002139.8</v>
      </c>
      <c r="I598" s="3" t="s">
        <v>20</v>
      </c>
      <c r="J598" s="3">
        <v>100.21398000000001</v>
      </c>
      <c r="K598" s="3">
        <v>1</v>
      </c>
      <c r="L598" s="5">
        <v>7.8100000000000003E-2</v>
      </c>
      <c r="M598" s="3" t="s">
        <v>21</v>
      </c>
      <c r="N598" s="3">
        <v>2400</v>
      </c>
      <c r="O598" s="6">
        <f>Table1[[#This Row],[Current coupon %]]*Table1[[#This Row],[Face value]]/Table1[[#This Row],[Ask Price]]</f>
        <v>7.7933238456351098E-2</v>
      </c>
      <c r="P598" s="3"/>
      <c r="Q598" s="3" t="s">
        <v>22</v>
      </c>
      <c r="R598">
        <f t="shared" si="9"/>
        <v>10</v>
      </c>
      <c r="S598" s="22" cm="1">
        <f t="array" ref="S598">_xlfn.IFS(Table1[[#This Row],[Coupon frequency]]="Semi-annual",2,Table1[[#This Row],[Coupon frequency]]="Quarterly",4,Table1[[#This Row],[Coupon frequency]]="Annual",1,Table1[[#This Row],[Coupon frequency]]="Every 4 months",3,Table1[[#This Row],[Coupon frequency]]="Monthly",12)</f>
        <v>1</v>
      </c>
      <c r="T598">
        <f>Table1[[#This Row],[Term to Maturity (Years)]]*Table1[[#This Row],[Coupon Frequency2]]</f>
        <v>10</v>
      </c>
      <c r="U598">
        <f>Table1[[#This Row],[Face value]]*Table1[[#This Row],[Current coupon %]]/Table1[[#This Row],[Coupon Frequency2]]</f>
        <v>78100</v>
      </c>
      <c r="V598" s="23">
        <f>RATE(Table1[[#This Row],[Total No. of Coupons]],Table1[[#This Row],[Coupon Amount]],-Table1[[#This Row],[Ask Price]],Table1[[#This Row],[Face value]])</f>
        <v>7.7784286398845923E-2</v>
      </c>
      <c r="W598" s="24">
        <f>Table1[[#This Row],[IRR]]*Table1[[#This Row],[Coupon Frequency2]]</f>
        <v>7.7784286398845923E-2</v>
      </c>
      <c r="X598" s="25" cm="1">
        <f t="array" ref="X59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8" s="26">
        <f>DURATION(Table1[[#This Row],[Issue date]],Table1[[#This Row],[Maturity date]],Table1[[#This Row],[Current coupon %]],Table1[[#This Row],[Yield (Annualised)]],Table1[[#This Row],[Coupon Frequency2]])</f>
        <v>7.1135851965795931</v>
      </c>
      <c r="Z598" s="26">
        <f>Table1[[#This Row],[Macaulay Duration in Years]]/(1+Table1[[#This Row],[IRR]])</f>
        <v>6.6001938294609106</v>
      </c>
      <c r="AA598" s="27">
        <f>VLOOKUP(Table1[[#This Row],[Yield Cluster]],'[1]Cluster Details'!$B$3:$C$16,2,0)</f>
        <v>7.8548801574189142E-2</v>
      </c>
      <c r="AB598" s="28">
        <f>PRICE(Table1[[#This Row],[Issue date]],Table1[[#This Row],[Maturity date]],Table1[[#This Row],[Current coupon %]],Table1[[#This Row],[Average Cluster Yield]],100,Table1[[#This Row],[Coupon Frequency2]])*Table1[[#This Row],[Face value]]/100</f>
        <v>996563.00425129011</v>
      </c>
      <c r="AC598" s="27" t="str">
        <f>IF(Table1[[#This Row],[Ask Price]]&gt;Table1[[#This Row],[Calculated Bond Price]],"Rich","Cheap")</f>
        <v>Rich</v>
      </c>
      <c r="AD598" s="28">
        <f>PRICE(Table1[[#This Row],[Issue date]],Table1[[#This Row],[Maturity date]],Table1[[#This Row],[Current coupon %]],Table1[[#This Row],[Yield (Annualised)]]+$AE$2,100,Table1[[#This Row],[Coupon Frequency2]])*Table1[[#This Row],[Face value]]/100</f>
        <v>937496.13812745467</v>
      </c>
      <c r="AE598" s="28">
        <f>PRICE(Table1[[#This Row],[Issue date]],Table1[[#This Row],[Maturity date]],Table1[[#This Row],[Current coupon %]],Table1[[#This Row],[Yield (Annualised)]]-$AE$2,100,Table1[[#This Row],[Coupon Frequency2]])*Table1[[#This Row],[Face value]]/100</f>
        <v>1071845.934179411</v>
      </c>
      <c r="AF598" s="28">
        <f>(Table1[[#This Row],[P (+ shock)]]+Table1[[#This Row],[P (-shock)]]-2*Table1[[#This Row],[Ask Price]])/(2*Table1[[#This Row],[Ask Price]]*($AE$2^2))</f>
        <v>25.258313794471253</v>
      </c>
    </row>
    <row r="599" spans="1:32" x14ac:dyDescent="0.25">
      <c r="A599" s="21" t="s">
        <v>1242</v>
      </c>
      <c r="B599" s="3" t="s">
        <v>1243</v>
      </c>
      <c r="C599" s="3" t="s">
        <v>19</v>
      </c>
      <c r="D599" s="4">
        <v>44375</v>
      </c>
      <c r="E599" s="4">
        <v>48026</v>
      </c>
      <c r="F599" s="3">
        <v>1000000</v>
      </c>
      <c r="G599" s="3" t="s">
        <v>20</v>
      </c>
      <c r="H599" s="3">
        <v>939275</v>
      </c>
      <c r="I599" s="3" t="s">
        <v>20</v>
      </c>
      <c r="J599" s="3">
        <v>93.927499999999995</v>
      </c>
      <c r="K599" s="3">
        <v>9</v>
      </c>
      <c r="L599" s="5">
        <v>7.3200000000000001E-2</v>
      </c>
      <c r="M599" s="3" t="s">
        <v>44</v>
      </c>
      <c r="N599" s="3">
        <v>2109</v>
      </c>
      <c r="O599" s="6">
        <f>Table1[[#This Row],[Current coupon %]]*Table1[[#This Row],[Face value]]/Table1[[#This Row],[Ask Price]]</f>
        <v>7.793244789864523E-2</v>
      </c>
      <c r="P599" s="3"/>
      <c r="Q599" s="3" t="s">
        <v>22</v>
      </c>
      <c r="R599">
        <f t="shared" si="9"/>
        <v>10</v>
      </c>
      <c r="S599" s="22" cm="1">
        <f t="array" ref="S599">_xlfn.IFS(Table1[[#This Row],[Coupon frequency]]="Semi-annual",2,Table1[[#This Row],[Coupon frequency]]="Quarterly",4,Table1[[#This Row],[Coupon frequency]]="Annual",1,Table1[[#This Row],[Coupon frequency]]="Every 4 months",3,Table1[[#This Row],[Coupon frequency]]="Monthly",12)</f>
        <v>4</v>
      </c>
      <c r="T599">
        <f>Table1[[#This Row],[Term to Maturity (Years)]]*Table1[[#This Row],[Coupon Frequency2]]</f>
        <v>40</v>
      </c>
      <c r="U599">
        <f>Table1[[#This Row],[Face value]]*Table1[[#This Row],[Current coupon %]]/Table1[[#This Row],[Coupon Frequency2]]</f>
        <v>18300</v>
      </c>
      <c r="V599" s="23">
        <f>RATE(Table1[[#This Row],[Total No. of Coupons]],Table1[[#This Row],[Coupon Amount]],-Table1[[#This Row],[Ask Price]],Table1[[#This Row],[Face value]])</f>
        <v>2.054096196483618E-2</v>
      </c>
      <c r="W599" s="24">
        <f>Table1[[#This Row],[IRR]]*Table1[[#This Row],[Coupon Frequency2]]</f>
        <v>8.2163847859344719E-2</v>
      </c>
      <c r="X599" s="25" cm="1">
        <f t="array" ref="X59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599" s="26">
        <f>DURATION(Table1[[#This Row],[Issue date]],Table1[[#This Row],[Maturity date]],Table1[[#This Row],[Current coupon %]],Table1[[#This Row],[Yield (Annualised)]],Table1[[#This Row],[Coupon Frequency2]])</f>
        <v>7.0697588909605003</v>
      </c>
      <c r="Z599" s="26">
        <f>Table1[[#This Row],[Macaulay Duration in Years]]/(1+Table1[[#This Row],[IRR]])</f>
        <v>6.9274621543354531</v>
      </c>
      <c r="AA599" s="27">
        <f>VLOOKUP(Table1[[#This Row],[Yield Cluster]],'[1]Cluster Details'!$B$3:$C$16,2,0)</f>
        <v>7.8548801574189142E-2</v>
      </c>
      <c r="AB599" s="28">
        <f>PRICE(Table1[[#This Row],[Issue date]],Table1[[#This Row],[Maturity date]],Table1[[#This Row],[Current coupon %]],Table1[[#This Row],[Average Cluster Yield]],100,Table1[[#This Row],[Coupon Frequency2]])*Table1[[#This Row],[Face value]]/100</f>
        <v>963191.22312214365</v>
      </c>
      <c r="AC599" s="27" t="str">
        <f>IF(Table1[[#This Row],[Ask Price]]&gt;Table1[[#This Row],[Calculated Bond Price]],"Rich","Cheap")</f>
        <v>Cheap</v>
      </c>
      <c r="AD599" s="28">
        <f>PRICE(Table1[[#This Row],[Issue date]],Table1[[#This Row],[Maturity date]],Table1[[#This Row],[Current coupon %]],Table1[[#This Row],[Yield (Annualised)]]+$AE$2,100,Table1[[#This Row],[Coupon Frequency2]])*Table1[[#This Row],[Face value]]/100</f>
        <v>876982.8881437995</v>
      </c>
      <c r="AE599" s="28">
        <f>PRICE(Table1[[#This Row],[Issue date]],Table1[[#This Row],[Maturity date]],Table1[[#This Row],[Current coupon %]],Table1[[#This Row],[Yield (Annualised)]]-$AE$2,100,Table1[[#This Row],[Coupon Frequency2]])*Table1[[#This Row],[Face value]]/100</f>
        <v>1007332.6073265822</v>
      </c>
      <c r="AF599" s="28">
        <f>(Table1[[#This Row],[P (+ shock)]]+Table1[[#This Row],[P (-shock)]]-2*Table1[[#This Row],[Ask Price]])/(2*Table1[[#This Row],[Ask Price]]*($AE$2^2))</f>
        <v>30.691200502418393</v>
      </c>
    </row>
    <row r="600" spans="1:32" x14ac:dyDescent="0.25">
      <c r="A600" s="21" t="s">
        <v>1244</v>
      </c>
      <c r="B600" s="3" t="s">
        <v>1245</v>
      </c>
      <c r="C600" s="3" t="s">
        <v>19</v>
      </c>
      <c r="D600" s="4">
        <v>41580</v>
      </c>
      <c r="E600" s="4">
        <v>47059</v>
      </c>
      <c r="F600" s="3">
        <v>1000</v>
      </c>
      <c r="G600" s="3" t="s">
        <v>20</v>
      </c>
      <c r="H600" s="3">
        <v>1128.25</v>
      </c>
      <c r="I600" s="3" t="s">
        <v>20</v>
      </c>
      <c r="J600" s="3">
        <v>112.825</v>
      </c>
      <c r="K600" s="3">
        <v>175</v>
      </c>
      <c r="L600" s="5">
        <v>8.7899999999999992E-2</v>
      </c>
      <c r="M600" s="3" t="s">
        <v>21</v>
      </c>
      <c r="N600" s="3">
        <v>1142</v>
      </c>
      <c r="O600" s="6">
        <f>Table1[[#This Row],[Current coupon %]]*Table1[[#This Row],[Face value]]/Table1[[#This Row],[Ask Price]]</f>
        <v>7.7908265012187006E-2</v>
      </c>
      <c r="P600" s="3" t="s">
        <v>54</v>
      </c>
      <c r="Q600" s="3" t="s">
        <v>22</v>
      </c>
      <c r="R600">
        <f t="shared" si="9"/>
        <v>15</v>
      </c>
      <c r="S600" s="22" cm="1">
        <f t="array" ref="S600">_xlfn.IFS(Table1[[#This Row],[Coupon frequency]]="Semi-annual",2,Table1[[#This Row],[Coupon frequency]]="Quarterly",4,Table1[[#This Row],[Coupon frequency]]="Annual",1,Table1[[#This Row],[Coupon frequency]]="Every 4 months",3,Table1[[#This Row],[Coupon frequency]]="Monthly",12)</f>
        <v>1</v>
      </c>
      <c r="T600">
        <f>Table1[[#This Row],[Term to Maturity (Years)]]*Table1[[#This Row],[Coupon Frequency2]]</f>
        <v>15</v>
      </c>
      <c r="U600">
        <f>Table1[[#This Row],[Face value]]*Table1[[#This Row],[Current coupon %]]/Table1[[#This Row],[Coupon Frequency2]]</f>
        <v>87.899999999999991</v>
      </c>
      <c r="V600" s="23">
        <f>RATE(Table1[[#This Row],[Total No. of Coupons]],Table1[[#This Row],[Coupon Amount]],-Table1[[#This Row],[Ask Price]],Table1[[#This Row],[Face value]])</f>
        <v>7.350547391690683E-2</v>
      </c>
      <c r="W600" s="24">
        <f>Table1[[#This Row],[IRR]]*Table1[[#This Row],[Coupon Frequency2]]</f>
        <v>7.350547391690683E-2</v>
      </c>
      <c r="X600" s="25" cm="1">
        <f t="array" ref="X60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0" s="26">
        <f>DURATION(Table1[[#This Row],[Issue date]],Table1[[#This Row],[Maturity date]],Table1[[#This Row],[Current coupon %]],Table1[[#This Row],[Yield (Annualised)]],Table1[[#This Row],[Coupon Frequency2]])</f>
        <v>9.2389739208070427</v>
      </c>
      <c r="Z600" s="26">
        <f>Table1[[#This Row],[Macaulay Duration in Years]]/(1+Table1[[#This Row],[IRR]])</f>
        <v>8.6063593947935217</v>
      </c>
      <c r="AA600" s="27">
        <f>VLOOKUP(Table1[[#This Row],[Yield Cluster]],'[1]Cluster Details'!$B$3:$C$16,2,0)</f>
        <v>7.8548801574189142E-2</v>
      </c>
      <c r="AB600" s="28">
        <f>PRICE(Table1[[#This Row],[Issue date]],Table1[[#This Row],[Maturity date]],Table1[[#This Row],[Current coupon %]],Table1[[#This Row],[Average Cluster Yield]],100,Table1[[#This Row],[Coupon Frequency2]])*Table1[[#This Row],[Face value]]/100</f>
        <v>1080.7555394616281</v>
      </c>
      <c r="AC600" s="27" t="str">
        <f>IF(Table1[[#This Row],[Ask Price]]&gt;Table1[[#This Row],[Calculated Bond Price]],"Rich","Cheap")</f>
        <v>Rich</v>
      </c>
      <c r="AD600" s="28">
        <f>PRICE(Table1[[#This Row],[Issue date]],Table1[[#This Row],[Maturity date]],Table1[[#This Row],[Current coupon %]],Table1[[#This Row],[Yield (Annualised)]]+$AE$2,100,Table1[[#This Row],[Coupon Frequency2]])*Table1[[#This Row],[Face value]]/100</f>
        <v>1036.8229355389947</v>
      </c>
      <c r="AE600" s="28">
        <f>PRICE(Table1[[#This Row],[Issue date]],Table1[[#This Row],[Maturity date]],Table1[[#This Row],[Current coupon %]],Table1[[#This Row],[Yield (Annualised)]]-$AE$2,100,Table1[[#This Row],[Coupon Frequency2]])*Table1[[#This Row],[Face value]]/100</f>
        <v>1231.592111230766</v>
      </c>
      <c r="AF600" s="28">
        <f>(Table1[[#This Row],[P (+ shock)]]+Table1[[#This Row],[P (-shock)]]-2*Table1[[#This Row],[Ask Price]])/(2*Table1[[#This Row],[Ask Price]]*($AE$2^2))</f>
        <v>52.803220783341104</v>
      </c>
    </row>
    <row r="601" spans="1:32" x14ac:dyDescent="0.25">
      <c r="A601" s="21" t="s">
        <v>1246</v>
      </c>
      <c r="B601" s="3" t="s">
        <v>1247</v>
      </c>
      <c r="C601" s="3" t="s">
        <v>19</v>
      </c>
      <c r="D601" s="4">
        <v>41724</v>
      </c>
      <c r="E601" s="4">
        <v>47203</v>
      </c>
      <c r="F601" s="3">
        <v>1000</v>
      </c>
      <c r="G601" s="3" t="s">
        <v>20</v>
      </c>
      <c r="H601" s="3">
        <v>1140.1199999999999</v>
      </c>
      <c r="I601" s="3" t="s">
        <v>20</v>
      </c>
      <c r="J601" s="3">
        <v>114.01199999999901</v>
      </c>
      <c r="K601" s="3">
        <v>562</v>
      </c>
      <c r="L601" s="5">
        <v>8.8800000000000004E-2</v>
      </c>
      <c r="M601" s="3" t="s">
        <v>21</v>
      </c>
      <c r="N601" s="3">
        <v>1286</v>
      </c>
      <c r="O601" s="6">
        <f>Table1[[#This Row],[Current coupon %]]*Table1[[#This Row],[Face value]]/Table1[[#This Row],[Ask Price]]</f>
        <v>7.7886538259130625E-2</v>
      </c>
      <c r="P601" s="3" t="s">
        <v>297</v>
      </c>
      <c r="Q601" s="3" t="s">
        <v>22</v>
      </c>
      <c r="R601">
        <f t="shared" si="9"/>
        <v>15</v>
      </c>
      <c r="S601" s="22" cm="1">
        <f t="array" ref="S601">_xlfn.IFS(Table1[[#This Row],[Coupon frequency]]="Semi-annual",2,Table1[[#This Row],[Coupon frequency]]="Quarterly",4,Table1[[#This Row],[Coupon frequency]]="Annual",1,Table1[[#This Row],[Coupon frequency]]="Every 4 months",3,Table1[[#This Row],[Coupon frequency]]="Monthly",12)</f>
        <v>1</v>
      </c>
      <c r="T601">
        <f>Table1[[#This Row],[Term to Maturity (Years)]]*Table1[[#This Row],[Coupon Frequency2]]</f>
        <v>15</v>
      </c>
      <c r="U601">
        <f>Table1[[#This Row],[Face value]]*Table1[[#This Row],[Current coupon %]]/Table1[[#This Row],[Coupon Frequency2]]</f>
        <v>88.8</v>
      </c>
      <c r="V601" s="23">
        <f>RATE(Table1[[#This Row],[Total No. of Coupons]],Table1[[#This Row],[Coupon Amount]],-Table1[[#This Row],[Ask Price]],Table1[[#This Row],[Face value]])</f>
        <v>7.3111827492880505E-2</v>
      </c>
      <c r="W601" s="24">
        <f>Table1[[#This Row],[IRR]]*Table1[[#This Row],[Coupon Frequency2]]</f>
        <v>7.3111827492880505E-2</v>
      </c>
      <c r="X601" s="25" cm="1">
        <f t="array" ref="X60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1" s="26">
        <f>DURATION(Table1[[#This Row],[Issue date]],Table1[[#This Row],[Maturity date]],Table1[[#This Row],[Current coupon %]],Table1[[#This Row],[Yield (Annualised)]],Table1[[#This Row],[Coupon Frequency2]])</f>
        <v>9.2309075930223301</v>
      </c>
      <c r="Z601" s="26">
        <f>Table1[[#This Row],[Macaulay Duration in Years]]/(1+Table1[[#This Row],[IRR]])</f>
        <v>8.6019996765747795</v>
      </c>
      <c r="AA601" s="27">
        <f>VLOOKUP(Table1[[#This Row],[Yield Cluster]],'[1]Cluster Details'!$B$3:$C$16,2,0)</f>
        <v>7.8548801574189142E-2</v>
      </c>
      <c r="AB601" s="28">
        <f>PRICE(Table1[[#This Row],[Issue date]],Table1[[#This Row],[Maturity date]],Table1[[#This Row],[Current coupon %]],Table1[[#This Row],[Average Cluster Yield]],100,Table1[[#This Row],[Coupon Frequency2]])*Table1[[#This Row],[Face value]]/100</f>
        <v>1088.5278037432688</v>
      </c>
      <c r="AC601" s="27" t="str">
        <f>IF(Table1[[#This Row],[Ask Price]]&gt;Table1[[#This Row],[Calculated Bond Price]],"Rich","Cheap")</f>
        <v>Rich</v>
      </c>
      <c r="AD601" s="28">
        <f>PRICE(Table1[[#This Row],[Issue date]],Table1[[#This Row],[Maturity date]],Table1[[#This Row],[Current coupon %]],Table1[[#This Row],[Yield (Annualised)]]+$AE$2,100,Table1[[#This Row],[Coupon Frequency2]])*Table1[[#This Row],[Face value]]/100</f>
        <v>1047.7761758805689</v>
      </c>
      <c r="AE601" s="28">
        <f>PRICE(Table1[[#This Row],[Issue date]],Table1[[#This Row],[Maturity date]],Table1[[#This Row],[Current coupon %]],Table1[[#This Row],[Yield (Annualised)]]-$AE$2,100,Table1[[#This Row],[Coupon Frequency2]])*Table1[[#This Row],[Face value]]/100</f>
        <v>1244.4945345391723</v>
      </c>
      <c r="AF601" s="28">
        <f>(Table1[[#This Row],[P (+ shock)]]+Table1[[#This Row],[P (-shock)]]-2*Table1[[#This Row],[Ask Price]])/(2*Table1[[#This Row],[Ask Price]]*($AE$2^2))</f>
        <v>52.76072001079428</v>
      </c>
    </row>
    <row r="602" spans="1:32" x14ac:dyDescent="0.25">
      <c r="A602" s="21" t="s">
        <v>1248</v>
      </c>
      <c r="B602" s="3" t="s">
        <v>1249</v>
      </c>
      <c r="C602" s="3" t="s">
        <v>19</v>
      </c>
      <c r="D602" s="4">
        <v>42940</v>
      </c>
      <c r="E602" s="4">
        <v>48419</v>
      </c>
      <c r="F602" s="3">
        <v>1000</v>
      </c>
      <c r="G602" s="3" t="s">
        <v>20</v>
      </c>
      <c r="H602" s="3">
        <v>1035</v>
      </c>
      <c r="I602" s="3" t="s">
        <v>20</v>
      </c>
      <c r="J602" s="3">
        <v>103.49999999999901</v>
      </c>
      <c r="K602" s="3">
        <v>18</v>
      </c>
      <c r="L602" s="5">
        <v>8.0500000000000002E-2</v>
      </c>
      <c r="M602" s="3" t="s">
        <v>21</v>
      </c>
      <c r="N602" s="3">
        <v>2502</v>
      </c>
      <c r="O602" s="6">
        <f>Table1[[#This Row],[Current coupon %]]*Table1[[#This Row],[Face value]]/Table1[[#This Row],[Ask Price]]</f>
        <v>7.7777777777777779E-2</v>
      </c>
      <c r="P602" s="3"/>
      <c r="Q602" s="3" t="s">
        <v>22</v>
      </c>
      <c r="R602">
        <f t="shared" si="9"/>
        <v>15</v>
      </c>
      <c r="S602" s="22" cm="1">
        <f t="array" ref="S602">_xlfn.IFS(Table1[[#This Row],[Coupon frequency]]="Semi-annual",2,Table1[[#This Row],[Coupon frequency]]="Quarterly",4,Table1[[#This Row],[Coupon frequency]]="Annual",1,Table1[[#This Row],[Coupon frequency]]="Every 4 months",3,Table1[[#This Row],[Coupon frequency]]="Monthly",12)</f>
        <v>1</v>
      </c>
      <c r="T602">
        <f>Table1[[#This Row],[Term to Maturity (Years)]]*Table1[[#This Row],[Coupon Frequency2]]</f>
        <v>15</v>
      </c>
      <c r="U602">
        <f>Table1[[#This Row],[Face value]]*Table1[[#This Row],[Current coupon %]]/Table1[[#This Row],[Coupon Frequency2]]</f>
        <v>80.5</v>
      </c>
      <c r="V602" s="23">
        <f>RATE(Table1[[#This Row],[Total No. of Coupons]],Table1[[#This Row],[Coupon Amount]],-Table1[[#This Row],[Ask Price]],Table1[[#This Row],[Face value]])</f>
        <v>7.6497983270965811E-2</v>
      </c>
      <c r="W602" s="24">
        <f>Table1[[#This Row],[IRR]]*Table1[[#This Row],[Coupon Frequency2]]</f>
        <v>7.6497983270965811E-2</v>
      </c>
      <c r="X602" s="25" cm="1">
        <f t="array" ref="X60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2" s="26">
        <f>DURATION(Table1[[#This Row],[Issue date]],Table1[[#This Row],[Maturity date]],Table1[[#This Row],[Current coupon %]],Table1[[#This Row],[Yield (Annualised)]],Table1[[#This Row],[Coupon Frequency2]])</f>
        <v>9.3211683337418627</v>
      </c>
      <c r="Z602" s="26">
        <f>Table1[[#This Row],[Macaulay Duration in Years]]/(1+Table1[[#This Row],[IRR]])</f>
        <v>8.6587884776330579</v>
      </c>
      <c r="AA602" s="27">
        <f>VLOOKUP(Table1[[#This Row],[Yield Cluster]],'[1]Cluster Details'!$B$3:$C$16,2,0)</f>
        <v>7.8548801574189142E-2</v>
      </c>
      <c r="AB602" s="28">
        <f>PRICE(Table1[[#This Row],[Issue date]],Table1[[#This Row],[Maturity date]],Table1[[#This Row],[Current coupon %]],Table1[[#This Row],[Average Cluster Yield]],100,Table1[[#This Row],[Coupon Frequency2]])*Table1[[#This Row],[Face value]]/100</f>
        <v>1016.8502553681382</v>
      </c>
      <c r="AC602" s="27" t="str">
        <f>IF(Table1[[#This Row],[Ask Price]]&gt;Table1[[#This Row],[Calculated Bond Price]],"Rich","Cheap")</f>
        <v>Rich</v>
      </c>
      <c r="AD602" s="28">
        <f>PRICE(Table1[[#This Row],[Issue date]],Table1[[#This Row],[Maturity date]],Table1[[#This Row],[Current coupon %]],Table1[[#This Row],[Yield (Annualised)]]+$AE$2,100,Table1[[#This Row],[Coupon Frequency2]])*Table1[[#This Row],[Face value]]/100</f>
        <v>950.63615226477168</v>
      </c>
      <c r="AE602" s="28">
        <f>PRICE(Table1[[#This Row],[Issue date]],Table1[[#This Row],[Maturity date]],Table1[[#This Row],[Current coupon %]],Table1[[#This Row],[Yield (Annualised)]]-$AE$2,100,Table1[[#This Row],[Coupon Frequency2]])*Table1[[#This Row],[Face value]]/100</f>
        <v>1130.3986294716788</v>
      </c>
      <c r="AF602" s="28">
        <f>(Table1[[#This Row],[P (+ shock)]]+Table1[[#This Row],[P (-shock)]]-2*Table1[[#This Row],[Ask Price]])/(2*Table1[[#This Row],[Ask Price]]*($AE$2^2))</f>
        <v>53.308124330678453</v>
      </c>
    </row>
    <row r="603" spans="1:32" x14ac:dyDescent="0.25">
      <c r="A603" s="21" t="s">
        <v>1250</v>
      </c>
      <c r="B603" s="3" t="s">
        <v>1251</v>
      </c>
      <c r="C603" s="3" t="s">
        <v>19</v>
      </c>
      <c r="D603" s="4">
        <v>41725</v>
      </c>
      <c r="E603" s="4">
        <v>47204</v>
      </c>
      <c r="F603" s="3">
        <v>1000</v>
      </c>
      <c r="G603" s="3" t="s">
        <v>20</v>
      </c>
      <c r="H603" s="3">
        <v>1132</v>
      </c>
      <c r="I603" s="3" t="s">
        <v>20</v>
      </c>
      <c r="J603" s="3">
        <v>113.19999999999899</v>
      </c>
      <c r="K603" s="3">
        <v>780</v>
      </c>
      <c r="L603" s="5">
        <v>8.8000000000000009E-2</v>
      </c>
      <c r="M603" s="3" t="s">
        <v>21</v>
      </c>
      <c r="N603" s="3">
        <v>1287</v>
      </c>
      <c r="O603" s="6">
        <f>Table1[[#This Row],[Current coupon %]]*Table1[[#This Row],[Face value]]/Table1[[#This Row],[Ask Price]]</f>
        <v>7.7738515901060082E-2</v>
      </c>
      <c r="P603" s="3" t="s">
        <v>54</v>
      </c>
      <c r="Q603" s="3" t="s">
        <v>22</v>
      </c>
      <c r="R603">
        <f t="shared" si="9"/>
        <v>15</v>
      </c>
      <c r="S603" s="22" cm="1">
        <f t="array" ref="S603">_xlfn.IFS(Table1[[#This Row],[Coupon frequency]]="Semi-annual",2,Table1[[#This Row],[Coupon frequency]]="Quarterly",4,Table1[[#This Row],[Coupon frequency]]="Annual",1,Table1[[#This Row],[Coupon frequency]]="Every 4 months",3,Table1[[#This Row],[Coupon frequency]]="Monthly",12)</f>
        <v>1</v>
      </c>
      <c r="T603">
        <f>Table1[[#This Row],[Term to Maturity (Years)]]*Table1[[#This Row],[Coupon Frequency2]]</f>
        <v>15</v>
      </c>
      <c r="U603">
        <f>Table1[[#This Row],[Face value]]*Table1[[#This Row],[Current coupon %]]/Table1[[#This Row],[Coupon Frequency2]]</f>
        <v>88.000000000000014</v>
      </c>
      <c r="V603" s="23">
        <f>RATE(Table1[[#This Row],[Total No. of Coupons]],Table1[[#This Row],[Coupon Amount]],-Table1[[#This Row],[Ask Price]],Table1[[#This Row],[Face value]])</f>
        <v>7.3211732842333482E-2</v>
      </c>
      <c r="W603" s="24">
        <f>Table1[[#This Row],[IRR]]*Table1[[#This Row],[Coupon Frequency2]]</f>
        <v>7.3211732842333482E-2</v>
      </c>
      <c r="X603" s="25" cm="1">
        <f t="array" ref="X60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3" s="26">
        <f>DURATION(Table1[[#This Row],[Issue date]],Table1[[#This Row],[Maturity date]],Table1[[#This Row],[Current coupon %]],Table1[[#This Row],[Yield (Annualised)]],Table1[[#This Row],[Coupon Frequency2]])</f>
        <v>9.244324543998216</v>
      </c>
      <c r="Z603" s="26">
        <f>Table1[[#This Row],[Macaulay Duration in Years]]/(1+Table1[[#This Row],[IRR]])</f>
        <v>8.613700597099518</v>
      </c>
      <c r="AA603" s="27">
        <f>VLOOKUP(Table1[[#This Row],[Yield Cluster]],'[1]Cluster Details'!$B$3:$C$16,2,0)</f>
        <v>7.8548801574189142E-2</v>
      </c>
      <c r="AB603" s="28">
        <f>PRICE(Table1[[#This Row],[Issue date]],Table1[[#This Row],[Maturity date]],Table1[[#This Row],[Current coupon %]],Table1[[#This Row],[Average Cluster Yield]],100,Table1[[#This Row],[Coupon Frequency2]])*Table1[[#This Row],[Face value]]/100</f>
        <v>1081.6191243818105</v>
      </c>
      <c r="AC603" s="27" t="str">
        <f>IF(Table1[[#This Row],[Ask Price]]&gt;Table1[[#This Row],[Calculated Bond Price]],"Rich","Cheap")</f>
        <v>Rich</v>
      </c>
      <c r="AD603" s="28">
        <f>PRICE(Table1[[#This Row],[Issue date]],Table1[[#This Row],[Maturity date]],Table1[[#This Row],[Current coupon %]],Table1[[#This Row],[Yield (Annualised)]]+$AE$2,100,Table1[[#This Row],[Coupon Frequency2]])*Table1[[#This Row],[Face value]]/100</f>
        <v>1040.193413057689</v>
      </c>
      <c r="AE603" s="28">
        <f>PRICE(Table1[[#This Row],[Issue date]],Table1[[#This Row],[Maturity date]],Table1[[#This Row],[Current coupon %]],Table1[[#This Row],[Yield (Annualised)]]-$AE$2,100,Table1[[#This Row],[Coupon Frequency2]])*Table1[[#This Row],[Face value]]/100</f>
        <v>1235.777110432703</v>
      </c>
      <c r="AF603" s="28">
        <f>(Table1[[#This Row],[P (+ shock)]]+Table1[[#This Row],[P (-shock)]]-2*Table1[[#This Row],[Ask Price]])/(2*Table1[[#This Row],[Ask Price]]*($AE$2^2))</f>
        <v>52.8733369716971</v>
      </c>
    </row>
    <row r="604" spans="1:32" x14ac:dyDescent="0.25">
      <c r="A604" s="21" t="s">
        <v>1252</v>
      </c>
      <c r="B604" s="3" t="s">
        <v>1253</v>
      </c>
      <c r="C604" s="3" t="s">
        <v>19</v>
      </c>
      <c r="D604" s="4">
        <v>44880</v>
      </c>
      <c r="E604" s="4">
        <v>48533</v>
      </c>
      <c r="F604" s="3">
        <v>1000000</v>
      </c>
      <c r="G604" s="3" t="s">
        <v>20</v>
      </c>
      <c r="H604" s="3">
        <v>1029901.7</v>
      </c>
      <c r="I604" s="3" t="s">
        <v>20</v>
      </c>
      <c r="J604" s="3">
        <v>102.990169999999</v>
      </c>
      <c r="K604" s="3">
        <v>1</v>
      </c>
      <c r="L604" s="5">
        <v>0.08</v>
      </c>
      <c r="M604" s="3" t="s">
        <v>53</v>
      </c>
      <c r="N604" s="3">
        <v>2616</v>
      </c>
      <c r="O604" s="6">
        <f>Table1[[#This Row],[Current coupon %]]*Table1[[#This Row],[Face value]]/Table1[[#This Row],[Ask Price]]</f>
        <v>7.7677316194351365E-2</v>
      </c>
      <c r="P604" s="3"/>
      <c r="Q604" s="3" t="s">
        <v>22</v>
      </c>
      <c r="R604">
        <f t="shared" si="9"/>
        <v>10</v>
      </c>
      <c r="S604" s="22" cm="1">
        <f t="array" ref="S604">_xlfn.IFS(Table1[[#This Row],[Coupon frequency]]="Semi-annual",2,Table1[[#This Row],[Coupon frequency]]="Quarterly",4,Table1[[#This Row],[Coupon frequency]]="Annual",1,Table1[[#This Row],[Coupon frequency]]="Every 4 months",3,Table1[[#This Row],[Coupon frequency]]="Monthly",12)</f>
        <v>2</v>
      </c>
      <c r="T604">
        <f>Table1[[#This Row],[Term to Maturity (Years)]]*Table1[[#This Row],[Coupon Frequency2]]</f>
        <v>20</v>
      </c>
      <c r="U604">
        <f>Table1[[#This Row],[Face value]]*Table1[[#This Row],[Current coupon %]]/Table1[[#This Row],[Coupon Frequency2]]</f>
        <v>40000</v>
      </c>
      <c r="V604" s="23">
        <f>RATE(Table1[[#This Row],[Total No. of Coupons]],Table1[[#This Row],[Coupon Amount]],-Table1[[#This Row],[Ask Price]],Table1[[#This Row],[Face value]])</f>
        <v>3.7841625662700148E-2</v>
      </c>
      <c r="W604" s="24">
        <f>Table1[[#This Row],[IRR]]*Table1[[#This Row],[Coupon Frequency2]]</f>
        <v>7.5683251325400297E-2</v>
      </c>
      <c r="X604" s="25" cm="1">
        <f t="array" ref="X60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4" s="26">
        <f>DURATION(Table1[[#This Row],[Issue date]],Table1[[#This Row],[Maturity date]],Table1[[#This Row],[Current coupon %]],Table1[[#This Row],[Yield (Annualised)]],Table1[[#This Row],[Coupon Frequency2]])</f>
        <v>7.114966339441569</v>
      </c>
      <c r="Z604" s="26">
        <f>Table1[[#This Row],[Macaulay Duration in Years]]/(1+Table1[[#This Row],[IRR]])</f>
        <v>6.85554150412728</v>
      </c>
      <c r="AA604" s="27">
        <f>VLOOKUP(Table1[[#This Row],[Yield Cluster]],'[1]Cluster Details'!$B$3:$C$16,2,0)</f>
        <v>7.8548801574189142E-2</v>
      </c>
      <c r="AB604" s="28">
        <f>PRICE(Table1[[#This Row],[Issue date]],Table1[[#This Row],[Maturity date]],Table1[[#This Row],[Current coupon %]],Table1[[#This Row],[Average Cluster Yield]],100,Table1[[#This Row],[Coupon Frequency2]])*Table1[[#This Row],[Face value]]/100</f>
        <v>1009924.7933464166</v>
      </c>
      <c r="AC604" s="27" t="str">
        <f>IF(Table1[[#This Row],[Ask Price]]&gt;Table1[[#This Row],[Calculated Bond Price]],"Rich","Cheap")</f>
        <v>Rich</v>
      </c>
      <c r="AD604" s="28">
        <f>PRICE(Table1[[#This Row],[Issue date]],Table1[[#This Row],[Maturity date]],Table1[[#This Row],[Current coupon %]],Table1[[#This Row],[Yield (Annualised)]]+$AE$2,100,Table1[[#This Row],[Coupon Frequency2]])*Table1[[#This Row],[Face value]]/100</f>
        <v>962335.185724688</v>
      </c>
      <c r="AE604" s="28">
        <f>PRICE(Table1[[#This Row],[Issue date]],Table1[[#This Row],[Maturity date]],Table1[[#This Row],[Current coupon %]],Table1[[#This Row],[Yield (Annualised)]]-$AE$2,100,Table1[[#This Row],[Coupon Frequency2]])*Table1[[#This Row],[Face value]]/100</f>
        <v>1103753.6177620962</v>
      </c>
      <c r="AF604" s="28">
        <f>(Table1[[#This Row],[P (+ shock)]]+Table1[[#This Row],[P (-shock)]]-2*Table1[[#This Row],[Ask Price]])/(2*Table1[[#This Row],[Ask Price]]*($AE$2^2))</f>
        <v>30.514579628251486</v>
      </c>
    </row>
    <row r="605" spans="1:32" x14ac:dyDescent="0.25">
      <c r="A605" s="21" t="s">
        <v>1254</v>
      </c>
      <c r="B605" s="3" t="s">
        <v>1255</v>
      </c>
      <c r="C605" s="3" t="s">
        <v>19</v>
      </c>
      <c r="D605" s="4">
        <v>45203</v>
      </c>
      <c r="E605" s="4">
        <v>47030</v>
      </c>
      <c r="F605" s="3">
        <v>1000</v>
      </c>
      <c r="G605" s="3" t="s">
        <v>20</v>
      </c>
      <c r="H605" s="3">
        <v>1030</v>
      </c>
      <c r="I605" s="3" t="s">
        <v>20</v>
      </c>
      <c r="J605" s="3">
        <v>103</v>
      </c>
      <c r="K605" s="3">
        <v>10</v>
      </c>
      <c r="L605" s="5">
        <v>0.08</v>
      </c>
      <c r="M605" s="3" t="s">
        <v>21</v>
      </c>
      <c r="N605" s="3">
        <v>1113</v>
      </c>
      <c r="O605" s="6">
        <f>Table1[[#This Row],[Current coupon %]]*Table1[[#This Row],[Face value]]/Table1[[#This Row],[Ask Price]]</f>
        <v>7.7669902912621352E-2</v>
      </c>
      <c r="P605" s="3" t="s">
        <v>97</v>
      </c>
      <c r="Q605" s="3" t="s">
        <v>22</v>
      </c>
      <c r="R605">
        <f t="shared" si="9"/>
        <v>5</v>
      </c>
      <c r="S605" s="22" cm="1">
        <f t="array" ref="S605">_xlfn.IFS(Table1[[#This Row],[Coupon frequency]]="Semi-annual",2,Table1[[#This Row],[Coupon frequency]]="Quarterly",4,Table1[[#This Row],[Coupon frequency]]="Annual",1,Table1[[#This Row],[Coupon frequency]]="Every 4 months",3,Table1[[#This Row],[Coupon frequency]]="Monthly",12)</f>
        <v>1</v>
      </c>
      <c r="T605">
        <f>Table1[[#This Row],[Term to Maturity (Years)]]*Table1[[#This Row],[Coupon Frequency2]]</f>
        <v>5</v>
      </c>
      <c r="U605">
        <f>Table1[[#This Row],[Face value]]*Table1[[#This Row],[Current coupon %]]/Table1[[#This Row],[Coupon Frequency2]]</f>
        <v>80</v>
      </c>
      <c r="V605" s="23">
        <f>RATE(Table1[[#This Row],[Total No. of Coupons]],Table1[[#This Row],[Coupon Amount]],-Table1[[#This Row],[Ask Price]],Table1[[#This Row],[Face value]])</f>
        <v>7.2631649203454524E-2</v>
      </c>
      <c r="W605" s="24">
        <f>Table1[[#This Row],[IRR]]*Table1[[#This Row],[Coupon Frequency2]]</f>
        <v>7.2631649203454524E-2</v>
      </c>
      <c r="X605" s="25" cm="1">
        <f t="array" ref="X60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5" s="26">
        <f>DURATION(Table1[[#This Row],[Issue date]],Table1[[#This Row],[Maturity date]],Table1[[#This Row],[Current coupon %]],Table1[[#This Row],[Yield (Annualised)]],Table1[[#This Row],[Coupon Frequency2]])</f>
        <v>4.3232881672393502</v>
      </c>
      <c r="Z605" s="26">
        <f>Table1[[#This Row],[Macaulay Duration in Years]]/(1+Table1[[#This Row],[IRR]])</f>
        <v>4.0305431696424971</v>
      </c>
      <c r="AA605" s="27">
        <f>VLOOKUP(Table1[[#This Row],[Yield Cluster]],'[1]Cluster Details'!$B$3:$C$16,2,0)</f>
        <v>7.8548801574189142E-2</v>
      </c>
      <c r="AB605" s="28">
        <f>PRICE(Table1[[#This Row],[Issue date]],Table1[[#This Row],[Maturity date]],Table1[[#This Row],[Current coupon %]],Table1[[#This Row],[Average Cluster Yield]],100,Table1[[#This Row],[Coupon Frequency2]])*Table1[[#This Row],[Face value]]/100</f>
        <v>1005.816444124333</v>
      </c>
      <c r="AC605" s="27" t="str">
        <f>IF(Table1[[#This Row],[Ask Price]]&gt;Table1[[#This Row],[Calculated Bond Price]],"Rich","Cheap")</f>
        <v>Rich</v>
      </c>
      <c r="AD605" s="28">
        <f>PRICE(Table1[[#This Row],[Issue date]],Table1[[#This Row],[Maturity date]],Table1[[#This Row],[Current coupon %]],Table1[[#This Row],[Yield (Annualised)]]+$AE$2,100,Table1[[#This Row],[Coupon Frequency2]])*Table1[[#This Row],[Face value]]/100</f>
        <v>989.56506603365256</v>
      </c>
      <c r="AE605" s="28">
        <f>PRICE(Table1[[#This Row],[Issue date]],Table1[[#This Row],[Maturity date]],Table1[[#This Row],[Current coupon %]],Table1[[#This Row],[Yield (Annualised)]]-$AE$2,100,Table1[[#This Row],[Coupon Frequency2]])*Table1[[#This Row],[Face value]]/100</f>
        <v>1072.6409942091732</v>
      </c>
      <c r="AF605" s="28">
        <f>(Table1[[#This Row],[P (+ shock)]]+Table1[[#This Row],[P (-shock)]]-2*Table1[[#This Row],[Ask Price]])/(2*Table1[[#This Row],[Ask Price]]*($AE$2^2))</f>
        <v>10.709030304978228</v>
      </c>
    </row>
    <row r="606" spans="1:32" x14ac:dyDescent="0.25">
      <c r="A606" s="21" t="s">
        <v>1256</v>
      </c>
      <c r="B606" s="3" t="s">
        <v>1257</v>
      </c>
      <c r="C606" s="3" t="s">
        <v>19</v>
      </c>
      <c r="D606" s="4">
        <v>42940</v>
      </c>
      <c r="E606" s="4">
        <v>46592</v>
      </c>
      <c r="F606" s="3">
        <v>1000</v>
      </c>
      <c r="G606" s="3" t="s">
        <v>20</v>
      </c>
      <c r="H606" s="3">
        <v>1030</v>
      </c>
      <c r="I606" s="3" t="s">
        <v>20</v>
      </c>
      <c r="J606" s="3">
        <v>103</v>
      </c>
      <c r="K606" s="3">
        <v>200</v>
      </c>
      <c r="L606" s="5">
        <v>0.08</v>
      </c>
      <c r="M606" s="3" t="s">
        <v>21</v>
      </c>
      <c r="N606" s="3">
        <v>675</v>
      </c>
      <c r="O606" s="6">
        <f>Table1[[#This Row],[Current coupon %]]*Table1[[#This Row],[Face value]]/Table1[[#This Row],[Ask Price]]</f>
        <v>7.7669902912621352E-2</v>
      </c>
      <c r="P606" s="3"/>
      <c r="Q606" s="3" t="s">
        <v>22</v>
      </c>
      <c r="R606">
        <f t="shared" si="9"/>
        <v>10</v>
      </c>
      <c r="S606" s="22" cm="1">
        <f t="array" ref="S606">_xlfn.IFS(Table1[[#This Row],[Coupon frequency]]="Semi-annual",2,Table1[[#This Row],[Coupon frequency]]="Quarterly",4,Table1[[#This Row],[Coupon frequency]]="Annual",1,Table1[[#This Row],[Coupon frequency]]="Every 4 months",3,Table1[[#This Row],[Coupon frequency]]="Monthly",12)</f>
        <v>1</v>
      </c>
      <c r="T606">
        <f>Table1[[#This Row],[Term to Maturity (Years)]]*Table1[[#This Row],[Coupon Frequency2]]</f>
        <v>10</v>
      </c>
      <c r="U606">
        <f>Table1[[#This Row],[Face value]]*Table1[[#This Row],[Current coupon %]]/Table1[[#This Row],[Coupon Frequency2]]</f>
        <v>80</v>
      </c>
      <c r="V606" s="23">
        <f>RATE(Table1[[#This Row],[Total No. of Coupons]],Table1[[#This Row],[Coupon Amount]],-Table1[[#This Row],[Ask Price]],Table1[[#This Row],[Face value]])</f>
        <v>7.561709905536082E-2</v>
      </c>
      <c r="W606" s="24">
        <f>Table1[[#This Row],[IRR]]*Table1[[#This Row],[Coupon Frequency2]]</f>
        <v>7.561709905536082E-2</v>
      </c>
      <c r="X606" s="25" cm="1">
        <f t="array" ref="X60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6" s="26">
        <f>DURATION(Table1[[#This Row],[Issue date]],Table1[[#This Row],[Maturity date]],Table1[[#This Row],[Current coupon %]],Table1[[#This Row],[Yield (Annualised)]],Table1[[#This Row],[Coupon Frequency2]])</f>
        <v>7.290759369203208</v>
      </c>
      <c r="Z606" s="26">
        <f>Table1[[#This Row],[Macaulay Duration in Years]]/(1+Table1[[#This Row],[IRR]])</f>
        <v>6.7782107365215474</v>
      </c>
      <c r="AA606" s="27">
        <f>VLOOKUP(Table1[[#This Row],[Yield Cluster]],'[1]Cluster Details'!$B$3:$C$16,2,0)</f>
        <v>7.8548801574189142E-2</v>
      </c>
      <c r="AB606" s="28">
        <f>PRICE(Table1[[#This Row],[Issue date]],Table1[[#This Row],[Maturity date]],Table1[[#This Row],[Current coupon %]],Table1[[#This Row],[Average Cluster Yield]],100,Table1[[#This Row],[Coupon Frequency2]])*Table1[[#This Row],[Face value]]/100</f>
        <v>1009.8017215338873</v>
      </c>
      <c r="AC606" s="27" t="str">
        <f>IF(Table1[[#This Row],[Ask Price]]&gt;Table1[[#This Row],[Calculated Bond Price]],"Rich","Cheap")</f>
        <v>Rich</v>
      </c>
      <c r="AD606" s="28">
        <f>PRICE(Table1[[#This Row],[Issue date]],Table1[[#This Row],[Maturity date]],Table1[[#This Row],[Current coupon %]],Table1[[#This Row],[Yield (Annualised)]]+$AE$2,100,Table1[[#This Row],[Coupon Frequency2]])*Table1[[#This Row],[Face value]]/100</f>
        <v>963.24538056661015</v>
      </c>
      <c r="AE606" s="28">
        <f>PRICE(Table1[[#This Row],[Issue date]],Table1[[#This Row],[Maturity date]],Table1[[#This Row],[Current coupon %]],Table1[[#This Row],[Yield (Annualised)]]-$AE$2,100,Table1[[#This Row],[Coupon Frequency2]])*Table1[[#This Row],[Face value]]/100</f>
        <v>1103.0982974128244</v>
      </c>
      <c r="AF606" s="28">
        <f>(Table1[[#This Row],[P (+ shock)]]+Table1[[#This Row],[P (-shock)]]-2*Table1[[#This Row],[Ask Price]])/(2*Table1[[#This Row],[Ask Price]]*($AE$2^2))</f>
        <v>30.794553298226635</v>
      </c>
    </row>
    <row r="607" spans="1:32" x14ac:dyDescent="0.25">
      <c r="A607" s="21" t="s">
        <v>1258</v>
      </c>
      <c r="B607" s="3" t="s">
        <v>1259</v>
      </c>
      <c r="C607" s="3" t="s">
        <v>19</v>
      </c>
      <c r="D607" s="4">
        <v>45532</v>
      </c>
      <c r="E607" s="4">
        <v>47358</v>
      </c>
      <c r="F607" s="3">
        <v>100000</v>
      </c>
      <c r="G607" s="3" t="s">
        <v>20</v>
      </c>
      <c r="H607" s="3">
        <v>93000</v>
      </c>
      <c r="I607" s="3" t="s">
        <v>20</v>
      </c>
      <c r="J607" s="3">
        <v>93</v>
      </c>
      <c r="K607" s="3">
        <v>1</v>
      </c>
      <c r="L607" s="5">
        <v>7.22E-2</v>
      </c>
      <c r="M607" s="3" t="s">
        <v>21</v>
      </c>
      <c r="N607" s="3">
        <v>1441</v>
      </c>
      <c r="O607" s="6">
        <f>Table1[[#This Row],[Current coupon %]]*Table1[[#This Row],[Face value]]/Table1[[#This Row],[Ask Price]]</f>
        <v>7.763440860215054E-2</v>
      </c>
      <c r="P607" s="3"/>
      <c r="Q607" s="3" t="s">
        <v>22</v>
      </c>
      <c r="R607">
        <f t="shared" si="9"/>
        <v>5</v>
      </c>
      <c r="S607" s="22" cm="1">
        <f t="array" ref="S607">_xlfn.IFS(Table1[[#This Row],[Coupon frequency]]="Semi-annual",2,Table1[[#This Row],[Coupon frequency]]="Quarterly",4,Table1[[#This Row],[Coupon frequency]]="Annual",1,Table1[[#This Row],[Coupon frequency]]="Every 4 months",3,Table1[[#This Row],[Coupon frequency]]="Monthly",12)</f>
        <v>1</v>
      </c>
      <c r="T607">
        <f>Table1[[#This Row],[Term to Maturity (Years)]]*Table1[[#This Row],[Coupon Frequency2]]</f>
        <v>5</v>
      </c>
      <c r="U607">
        <f>Table1[[#This Row],[Face value]]*Table1[[#This Row],[Current coupon %]]/Table1[[#This Row],[Coupon Frequency2]]</f>
        <v>7220</v>
      </c>
      <c r="V607" s="23">
        <f>RATE(Table1[[#This Row],[Total No. of Coupons]],Table1[[#This Row],[Coupon Amount]],-Table1[[#This Row],[Ask Price]],Table1[[#This Row],[Face value]])</f>
        <v>9.0206096701294022E-2</v>
      </c>
      <c r="W607" s="24">
        <f>Table1[[#This Row],[IRR]]*Table1[[#This Row],[Coupon Frequency2]]</f>
        <v>9.0206096701294022E-2</v>
      </c>
      <c r="X607" s="25" cm="1">
        <f t="array" ref="X60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7" s="26">
        <f>DURATION(Table1[[#This Row],[Issue date]],Table1[[#This Row],[Maturity date]],Table1[[#This Row],[Current coupon %]],Table1[[#This Row],[Yield (Annualised)]],Table1[[#This Row],[Coupon Frequency2]])</f>
        <v>4.3444164421540421</v>
      </c>
      <c r="Z607" s="26">
        <f>Table1[[#This Row],[Macaulay Duration in Years]]/(1+Table1[[#This Row],[IRR]])</f>
        <v>3.9849496854761859</v>
      </c>
      <c r="AA607" s="27">
        <f>VLOOKUP(Table1[[#This Row],[Yield Cluster]],'[1]Cluster Details'!$B$3:$C$16,2,0)</f>
        <v>7.8548801574189142E-2</v>
      </c>
      <c r="AB607" s="28">
        <f>PRICE(Table1[[#This Row],[Issue date]],Table1[[#This Row],[Maturity date]],Table1[[#This Row],[Current coupon %]],Table1[[#This Row],[Average Cluster Yield]],100,Table1[[#This Row],[Coupon Frequency2]])*Table1[[#This Row],[Face value]]/100</f>
        <v>97455.382464867871</v>
      </c>
      <c r="AC607" s="27" t="str">
        <f>IF(Table1[[#This Row],[Ask Price]]&gt;Table1[[#This Row],[Calculated Bond Price]],"Rich","Cheap")</f>
        <v>Cheap</v>
      </c>
      <c r="AD607" s="28">
        <f>PRICE(Table1[[#This Row],[Issue date]],Table1[[#This Row],[Maturity date]],Table1[[#This Row],[Current coupon %]],Table1[[#This Row],[Yield (Annualised)]]+$AE$2,100,Table1[[#This Row],[Coupon Frequency2]])*Table1[[#This Row],[Face value]]/100</f>
        <v>89389.073222491672</v>
      </c>
      <c r="AE607" s="28">
        <f>PRICE(Table1[[#This Row],[Issue date]],Table1[[#This Row],[Maturity date]],Table1[[#This Row],[Current coupon %]],Table1[[#This Row],[Yield (Annualised)]]-$AE$2,100,Table1[[#This Row],[Coupon Frequency2]])*Table1[[#This Row],[Face value]]/100</f>
        <v>96805.133353660218</v>
      </c>
      <c r="AF607" s="28">
        <f>(Table1[[#This Row],[P (+ shock)]]+Table1[[#This Row],[P (-shock)]]-2*Table1[[#This Row],[Ask Price]])/(2*Table1[[#This Row],[Ask Price]]*($AE$2^2))</f>
        <v>10.441213771606975</v>
      </c>
    </row>
    <row r="608" spans="1:32" x14ac:dyDescent="0.25">
      <c r="A608" s="21" t="s">
        <v>1260</v>
      </c>
      <c r="B608" s="3" t="s">
        <v>1261</v>
      </c>
      <c r="C608" s="3" t="s">
        <v>19</v>
      </c>
      <c r="D608" s="4">
        <v>44322</v>
      </c>
      <c r="E608" s="4">
        <v>46879</v>
      </c>
      <c r="F608" s="3">
        <v>1000</v>
      </c>
      <c r="G608" s="3" t="s">
        <v>20</v>
      </c>
      <c r="H608" s="3">
        <v>1018</v>
      </c>
      <c r="I608" s="3" t="s">
        <v>20</v>
      </c>
      <c r="J608" s="3">
        <v>101.8</v>
      </c>
      <c r="K608" s="3">
        <v>50</v>
      </c>
      <c r="L608" s="5">
        <v>7.9000000000000001E-2</v>
      </c>
      <c r="M608" s="3" t="s">
        <v>21</v>
      </c>
      <c r="N608" s="3">
        <v>962</v>
      </c>
      <c r="O608" s="6">
        <f>Table1[[#This Row],[Current coupon %]]*Table1[[#This Row],[Face value]]/Table1[[#This Row],[Ask Price]]</f>
        <v>7.7603143418467579E-2</v>
      </c>
      <c r="P608" s="3"/>
      <c r="Q608" s="3" t="s">
        <v>22</v>
      </c>
      <c r="R608">
        <f t="shared" si="9"/>
        <v>7</v>
      </c>
      <c r="S608" s="22" cm="1">
        <f t="array" ref="S608">_xlfn.IFS(Table1[[#This Row],[Coupon frequency]]="Semi-annual",2,Table1[[#This Row],[Coupon frequency]]="Quarterly",4,Table1[[#This Row],[Coupon frequency]]="Annual",1,Table1[[#This Row],[Coupon frequency]]="Every 4 months",3,Table1[[#This Row],[Coupon frequency]]="Monthly",12)</f>
        <v>1</v>
      </c>
      <c r="T608">
        <f>Table1[[#This Row],[Term to Maturity (Years)]]*Table1[[#This Row],[Coupon Frequency2]]</f>
        <v>7</v>
      </c>
      <c r="U608">
        <f>Table1[[#This Row],[Face value]]*Table1[[#This Row],[Current coupon %]]/Table1[[#This Row],[Coupon Frequency2]]</f>
        <v>79</v>
      </c>
      <c r="V608" s="23">
        <f>RATE(Table1[[#This Row],[Total No. of Coupons]],Table1[[#This Row],[Coupon Amount]],-Table1[[#This Row],[Ask Price]],Table1[[#This Row],[Face value]])</f>
        <v>7.5594613543185904E-2</v>
      </c>
      <c r="W608" s="24">
        <f>Table1[[#This Row],[IRR]]*Table1[[#This Row],[Coupon Frequency2]]</f>
        <v>7.5594613543185904E-2</v>
      </c>
      <c r="X608" s="25" cm="1">
        <f t="array" ref="X60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8" s="26">
        <f>DURATION(Table1[[#This Row],[Issue date]],Table1[[#This Row],[Maturity date]],Table1[[#This Row],[Current coupon %]],Table1[[#This Row],[Yield (Annualised)]],Table1[[#This Row],[Coupon Frequency2]])</f>
        <v>5.6503866642456169</v>
      </c>
      <c r="Z608" s="26">
        <f>Table1[[#This Row],[Macaulay Duration in Years]]/(1+Table1[[#This Row],[IRR]])</f>
        <v>5.2532679069787376</v>
      </c>
      <c r="AA608" s="27">
        <f>VLOOKUP(Table1[[#This Row],[Yield Cluster]],'[1]Cluster Details'!$B$3:$C$16,2,0)</f>
        <v>7.8548801574189142E-2</v>
      </c>
      <c r="AB608" s="28">
        <f>PRICE(Table1[[#This Row],[Issue date]],Table1[[#This Row],[Maturity date]],Table1[[#This Row],[Current coupon %]],Table1[[#This Row],[Average Cluster Yield]],100,Table1[[#This Row],[Coupon Frequency2]])*Table1[[#This Row],[Face value]]/100</f>
        <v>1002.360810297413</v>
      </c>
      <c r="AC608" s="27" t="str">
        <f>IF(Table1[[#This Row],[Ask Price]]&gt;Table1[[#This Row],[Calculated Bond Price]],"Rich","Cheap")</f>
        <v>Rich</v>
      </c>
      <c r="AD608" s="28">
        <f>PRICE(Table1[[#This Row],[Issue date]],Table1[[#This Row],[Maturity date]],Table1[[#This Row],[Current coupon %]],Table1[[#This Row],[Yield (Annualised)]]+$AE$2,100,Table1[[#This Row],[Coupon Frequency2]])*Table1[[#This Row],[Face value]]/100</f>
        <v>966.31326557604439</v>
      </c>
      <c r="AE608" s="28">
        <f>PRICE(Table1[[#This Row],[Issue date]],Table1[[#This Row],[Maturity date]],Table1[[#This Row],[Current coupon %]],Table1[[#This Row],[Yield (Annualised)]]-$AE$2,100,Table1[[#This Row],[Coupon Frequency2]])*Table1[[#This Row],[Face value]]/100</f>
        <v>1073.3684661296552</v>
      </c>
      <c r="AF608" s="28">
        <f>(Table1[[#This Row],[P (+ shock)]]+Table1[[#This Row],[P (-shock)]]-2*Table1[[#This Row],[Ask Price]])/(2*Table1[[#This Row],[Ask Price]]*($AE$2^2))</f>
        <v>18.083161619349589</v>
      </c>
    </row>
    <row r="609" spans="1:32" x14ac:dyDescent="0.25">
      <c r="A609" s="21" t="s">
        <v>1262</v>
      </c>
      <c r="B609" s="3" t="s">
        <v>1263</v>
      </c>
      <c r="C609" s="3" t="s">
        <v>19</v>
      </c>
      <c r="D609" s="4">
        <v>44803</v>
      </c>
      <c r="E609" s="4">
        <v>46629</v>
      </c>
      <c r="F609" s="3">
        <v>1000000</v>
      </c>
      <c r="G609" s="3" t="s">
        <v>20</v>
      </c>
      <c r="H609" s="3">
        <v>1019719.9</v>
      </c>
      <c r="I609" s="3" t="s">
        <v>20</v>
      </c>
      <c r="J609" s="3">
        <v>101.97199000000001</v>
      </c>
      <c r="K609" s="3">
        <v>1</v>
      </c>
      <c r="L609" s="5">
        <v>7.9000000000000001E-2</v>
      </c>
      <c r="M609" s="3" t="s">
        <v>21</v>
      </c>
      <c r="N609" s="3">
        <v>712</v>
      </c>
      <c r="O609" s="6">
        <f>Table1[[#This Row],[Current coupon %]]*Table1[[#This Row],[Face value]]/Table1[[#This Row],[Ask Price]]</f>
        <v>7.7472254880972702E-2</v>
      </c>
      <c r="P609" s="3"/>
      <c r="Q609" s="3" t="s">
        <v>22</v>
      </c>
      <c r="R609">
        <f t="shared" si="9"/>
        <v>5</v>
      </c>
      <c r="S609" s="22" cm="1">
        <f t="array" ref="S609">_xlfn.IFS(Table1[[#This Row],[Coupon frequency]]="Semi-annual",2,Table1[[#This Row],[Coupon frequency]]="Quarterly",4,Table1[[#This Row],[Coupon frequency]]="Annual",1,Table1[[#This Row],[Coupon frequency]]="Every 4 months",3,Table1[[#This Row],[Coupon frequency]]="Monthly",12)</f>
        <v>1</v>
      </c>
      <c r="T609">
        <f>Table1[[#This Row],[Term to Maturity (Years)]]*Table1[[#This Row],[Coupon Frequency2]]</f>
        <v>5</v>
      </c>
      <c r="U609">
        <f>Table1[[#This Row],[Face value]]*Table1[[#This Row],[Current coupon %]]/Table1[[#This Row],[Coupon Frequency2]]</f>
        <v>79000</v>
      </c>
      <c r="V609" s="23">
        <f>RATE(Table1[[#This Row],[Total No. of Coupons]],Table1[[#This Row],[Coupon Amount]],-Table1[[#This Row],[Ask Price]],Table1[[#This Row],[Face value]])</f>
        <v>7.4137103810298491E-2</v>
      </c>
      <c r="W609" s="24">
        <f>Table1[[#This Row],[IRR]]*Table1[[#This Row],[Coupon Frequency2]]</f>
        <v>7.4137103810298491E-2</v>
      </c>
      <c r="X609" s="25" cm="1">
        <f t="array" ref="X60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09" s="26">
        <f>DURATION(Table1[[#This Row],[Issue date]],Table1[[#This Row],[Maturity date]],Table1[[#This Row],[Current coupon %]],Table1[[#This Row],[Yield (Annualised)]],Table1[[#This Row],[Coupon Frequency2]])</f>
        <v>4.3268355486964216</v>
      </c>
      <c r="Z609" s="26">
        <f>Table1[[#This Row],[Macaulay Duration in Years]]/(1+Table1[[#This Row],[IRR]])</f>
        <v>4.0281967109671477</v>
      </c>
      <c r="AA609" s="27">
        <f>VLOOKUP(Table1[[#This Row],[Yield Cluster]],'[1]Cluster Details'!$B$3:$C$16,2,0)</f>
        <v>7.8548801574189142E-2</v>
      </c>
      <c r="AB609" s="28">
        <f>PRICE(Table1[[#This Row],[Issue date]],Table1[[#This Row],[Maturity date]],Table1[[#This Row],[Current coupon %]],Table1[[#This Row],[Average Cluster Yield]],100,Table1[[#This Row],[Coupon Frequency2]])*Table1[[#This Row],[Face value]]/100</f>
        <v>1001808.4159864284</v>
      </c>
      <c r="AC609" s="27" t="str">
        <f>IF(Table1[[#This Row],[Ask Price]]&gt;Table1[[#This Row],[Calculated Bond Price]],"Rich","Cheap")</f>
        <v>Rich</v>
      </c>
      <c r="AD609" s="28">
        <f>PRICE(Table1[[#This Row],[Issue date]],Table1[[#This Row],[Maturity date]],Table1[[#This Row],[Current coupon %]],Table1[[#This Row],[Yield (Annualised)]]+$AE$2,100,Table1[[#This Row],[Coupon Frequency2]])*Table1[[#This Row],[Face value]]/100</f>
        <v>979710.75059963763</v>
      </c>
      <c r="AE609" s="28">
        <f>PRICE(Table1[[#This Row],[Issue date]],Table1[[#This Row],[Maturity date]],Table1[[#This Row],[Current coupon %]],Table1[[#This Row],[Yield (Annualised)]]-$AE$2,100,Table1[[#This Row],[Coupon Frequency2]])*Table1[[#This Row],[Face value]]/100</f>
        <v>1061909.5391971732</v>
      </c>
      <c r="AF609" s="28">
        <f>(Table1[[#This Row],[P (+ shock)]]+Table1[[#This Row],[P (-shock)]]-2*Table1[[#This Row],[Ask Price]])/(2*Table1[[#This Row],[Ask Price]]*($AE$2^2))</f>
        <v>10.691611474929456</v>
      </c>
    </row>
    <row r="610" spans="1:32" x14ac:dyDescent="0.25">
      <c r="A610" s="21" t="s">
        <v>1264</v>
      </c>
      <c r="B610" s="3" t="s">
        <v>1265</v>
      </c>
      <c r="C610" s="3" t="s">
        <v>19</v>
      </c>
      <c r="D610" s="4">
        <v>44396</v>
      </c>
      <c r="E610" s="4">
        <v>48047</v>
      </c>
      <c r="F610" s="3">
        <v>1000000</v>
      </c>
      <c r="G610" s="3" t="s">
        <v>20</v>
      </c>
      <c r="H610" s="3">
        <v>1097440</v>
      </c>
      <c r="I610" s="3" t="s">
        <v>20</v>
      </c>
      <c r="J610" s="3">
        <v>109.744</v>
      </c>
      <c r="K610" s="3">
        <v>2</v>
      </c>
      <c r="L610" s="5">
        <v>8.5000000000000006E-2</v>
      </c>
      <c r="M610" s="3" t="s">
        <v>21</v>
      </c>
      <c r="N610" s="3">
        <v>2130</v>
      </c>
      <c r="O610" s="6">
        <f>Table1[[#This Row],[Current coupon %]]*Table1[[#This Row],[Face value]]/Table1[[#This Row],[Ask Price]]</f>
        <v>7.7452981484181366E-2</v>
      </c>
      <c r="P610" s="3"/>
      <c r="Q610" s="3" t="s">
        <v>22</v>
      </c>
      <c r="R610">
        <f t="shared" si="9"/>
        <v>10</v>
      </c>
      <c r="S610" s="22" cm="1">
        <f t="array" ref="S610">_xlfn.IFS(Table1[[#This Row],[Coupon frequency]]="Semi-annual",2,Table1[[#This Row],[Coupon frequency]]="Quarterly",4,Table1[[#This Row],[Coupon frequency]]="Annual",1,Table1[[#This Row],[Coupon frequency]]="Every 4 months",3,Table1[[#This Row],[Coupon frequency]]="Monthly",12)</f>
        <v>1</v>
      </c>
      <c r="T610">
        <f>Table1[[#This Row],[Term to Maturity (Years)]]*Table1[[#This Row],[Coupon Frequency2]]</f>
        <v>10</v>
      </c>
      <c r="U610">
        <f>Table1[[#This Row],[Face value]]*Table1[[#This Row],[Current coupon %]]/Table1[[#This Row],[Coupon Frequency2]]</f>
        <v>85000</v>
      </c>
      <c r="V610" s="23">
        <f>RATE(Table1[[#This Row],[Total No. of Coupons]],Table1[[#This Row],[Coupon Amount]],-Table1[[#This Row],[Ask Price]],Table1[[#This Row],[Face value]])</f>
        <v>7.1058761007433413E-2</v>
      </c>
      <c r="W610" s="24">
        <f>Table1[[#This Row],[IRR]]*Table1[[#This Row],[Coupon Frequency2]]</f>
        <v>7.1058761007433413E-2</v>
      </c>
      <c r="X610" s="25" cm="1">
        <f t="array" ref="X6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0" s="26">
        <f>DURATION(Table1[[#This Row],[Issue date]],Table1[[#This Row],[Maturity date]],Table1[[#This Row],[Current coupon %]],Table1[[#This Row],[Yield (Annualised)]],Table1[[#This Row],[Coupon Frequency2]])</f>
        <v>7.2569883249289413</v>
      </c>
      <c r="Z610" s="26">
        <f>Table1[[#This Row],[Macaulay Duration in Years]]/(1+Table1[[#This Row],[IRR]])</f>
        <v>6.7755277199759316</v>
      </c>
      <c r="AA610" s="27">
        <f>VLOOKUP(Table1[[#This Row],[Yield Cluster]],'[1]Cluster Details'!$B$3:$C$16,2,0)</f>
        <v>7.8548801574189142E-2</v>
      </c>
      <c r="AB610" s="28">
        <f>PRICE(Table1[[#This Row],[Issue date]],Table1[[#This Row],[Maturity date]],Table1[[#This Row],[Current coupon %]],Table1[[#This Row],[Average Cluster Yield]],100,Table1[[#This Row],[Coupon Frequency2]])*Table1[[#This Row],[Face value]]/100</f>
        <v>1043555.9593023802</v>
      </c>
      <c r="AC610" s="27" t="str">
        <f>IF(Table1[[#This Row],[Ask Price]]&gt;Table1[[#This Row],[Calculated Bond Price]],"Rich","Cheap")</f>
        <v>Rich</v>
      </c>
      <c r="AD610" s="28">
        <f>PRICE(Table1[[#This Row],[Issue date]],Table1[[#This Row],[Maturity date]],Table1[[#This Row],[Current coupon %]],Table1[[#This Row],[Yield (Annualised)]]+$AE$2,100,Table1[[#This Row],[Coupon Frequency2]])*Table1[[#This Row],[Face value]]/100</f>
        <v>1026306.3186313132</v>
      </c>
      <c r="AE610" s="28">
        <f>PRICE(Table1[[#This Row],[Issue date]],Table1[[#This Row],[Maturity date]],Table1[[#This Row],[Current coupon %]],Table1[[#This Row],[Yield (Annualised)]]-$AE$2,100,Table1[[#This Row],[Coupon Frequency2]])*Table1[[#This Row],[Face value]]/100</f>
        <v>1175286.4728627421</v>
      </c>
      <c r="AF610" s="28">
        <f>(Table1[[#This Row],[P (+ shock)]]+Table1[[#This Row],[P (-shock)]]-2*Table1[[#This Row],[Ask Price]])/(2*Table1[[#This Row],[Ask Price]]*($AE$2^2))</f>
        <v>30.583865605660382</v>
      </c>
    </row>
    <row r="611" spans="1:32" x14ac:dyDescent="0.25">
      <c r="A611" s="21" t="s">
        <v>1266</v>
      </c>
      <c r="B611" s="3" t="s">
        <v>1267</v>
      </c>
      <c r="C611" s="3" t="s">
        <v>19</v>
      </c>
      <c r="D611" s="4">
        <v>41723</v>
      </c>
      <c r="E611" s="4">
        <v>49028</v>
      </c>
      <c r="F611" s="3">
        <v>1000</v>
      </c>
      <c r="G611" s="3" t="s">
        <v>20</v>
      </c>
      <c r="H611" s="3">
        <v>1168.04</v>
      </c>
      <c r="I611" s="3" t="s">
        <v>20</v>
      </c>
      <c r="J611" s="3">
        <v>116.804</v>
      </c>
      <c r="K611" s="3">
        <v>6</v>
      </c>
      <c r="L611" s="5">
        <v>0.09</v>
      </c>
      <c r="M611" s="3" t="s">
        <v>21</v>
      </c>
      <c r="N611" s="3">
        <v>3111</v>
      </c>
      <c r="O611" s="6">
        <f>Table1[[#This Row],[Current coupon %]]*Table1[[#This Row],[Face value]]/Table1[[#This Row],[Ask Price]]</f>
        <v>7.7052155748090823E-2</v>
      </c>
      <c r="P611" s="3"/>
      <c r="Q611" s="3" t="s">
        <v>22</v>
      </c>
      <c r="R611">
        <f t="shared" si="9"/>
        <v>20</v>
      </c>
      <c r="S611" s="22" cm="1">
        <f t="array" ref="S611">_xlfn.IFS(Table1[[#This Row],[Coupon frequency]]="Semi-annual",2,Table1[[#This Row],[Coupon frequency]]="Quarterly",4,Table1[[#This Row],[Coupon frequency]]="Annual",1,Table1[[#This Row],[Coupon frequency]]="Every 4 months",3,Table1[[#This Row],[Coupon frequency]]="Monthly",12)</f>
        <v>1</v>
      </c>
      <c r="T611">
        <f>Table1[[#This Row],[Term to Maturity (Years)]]*Table1[[#This Row],[Coupon Frequency2]]</f>
        <v>20</v>
      </c>
      <c r="U611">
        <f>Table1[[#This Row],[Face value]]*Table1[[#This Row],[Current coupon %]]/Table1[[#This Row],[Coupon Frequency2]]</f>
        <v>90</v>
      </c>
      <c r="V611" s="23">
        <f>RATE(Table1[[#This Row],[Total No. of Coupons]],Table1[[#This Row],[Coupon Amount]],-Table1[[#This Row],[Ask Price]],Table1[[#This Row],[Face value]])</f>
        <v>7.3681513607503829E-2</v>
      </c>
      <c r="W611" s="24">
        <f>Table1[[#This Row],[IRR]]*Table1[[#This Row],[Coupon Frequency2]]</f>
        <v>7.3681513607503829E-2</v>
      </c>
      <c r="X611" s="25" cm="1">
        <f t="array" ref="X6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1" s="26">
        <f>DURATION(Table1[[#This Row],[Issue date]],Table1[[#This Row],[Maturity date]],Table1[[#This Row],[Current coupon %]],Table1[[#This Row],[Yield (Annualised)]],Table1[[#This Row],[Coupon Frequency2]])</f>
        <v>10.64711958999591</v>
      </c>
      <c r="Z611" s="26">
        <f>Table1[[#This Row],[Macaulay Duration in Years]]/(1+Table1[[#This Row],[IRR]])</f>
        <v>9.9164598207733352</v>
      </c>
      <c r="AA611" s="27">
        <f>VLOOKUP(Table1[[#This Row],[Yield Cluster]],'[1]Cluster Details'!$B$3:$C$16,2,0)</f>
        <v>7.8548801574189142E-2</v>
      </c>
      <c r="AB611" s="28">
        <f>PRICE(Table1[[#This Row],[Issue date]],Table1[[#This Row],[Maturity date]],Table1[[#This Row],[Current coupon %]],Table1[[#This Row],[Average Cluster Yield]],100,Table1[[#This Row],[Coupon Frequency2]])*Table1[[#This Row],[Face value]]/100</f>
        <v>1113.6541652096043</v>
      </c>
      <c r="AC611" s="27" t="str">
        <f>IF(Table1[[#This Row],[Ask Price]]&gt;Table1[[#This Row],[Calculated Bond Price]],"Rich","Cheap")</f>
        <v>Rich</v>
      </c>
      <c r="AD611" s="28">
        <f>PRICE(Table1[[#This Row],[Issue date]],Table1[[#This Row],[Maturity date]],Table1[[#This Row],[Current coupon %]],Table1[[#This Row],[Yield (Annualised)]]+$AE$2,100,Table1[[#This Row],[Coupon Frequency2]])*Table1[[#This Row],[Face value]]/100</f>
        <v>1060.3724807494132</v>
      </c>
      <c r="AE611" s="28">
        <f>PRICE(Table1[[#This Row],[Issue date]],Table1[[#This Row],[Maturity date]],Table1[[#This Row],[Current coupon %]],Table1[[#This Row],[Yield (Annualised)]]-$AE$2,100,Table1[[#This Row],[Coupon Frequency2]])*Table1[[#This Row],[Face value]]/100</f>
        <v>1293.0523107669278</v>
      </c>
      <c r="AF611" s="28">
        <f>(Table1[[#This Row],[P (+ shock)]]+Table1[[#This Row],[P (-shock)]]-2*Table1[[#This Row],[Ask Price]])/(2*Table1[[#This Row],[Ask Price]]*($AE$2^2))</f>
        <v>74.247420963070809</v>
      </c>
    </row>
    <row r="612" spans="1:32" x14ac:dyDescent="0.25">
      <c r="A612" s="21" t="s">
        <v>1268</v>
      </c>
      <c r="B612" s="3" t="s">
        <v>1269</v>
      </c>
      <c r="C612" s="3" t="s">
        <v>19</v>
      </c>
      <c r="D612" s="4">
        <v>43517</v>
      </c>
      <c r="E612" s="4">
        <v>47170</v>
      </c>
      <c r="F612" s="3">
        <v>1000000</v>
      </c>
      <c r="G612" s="3" t="s">
        <v>20</v>
      </c>
      <c r="H612" s="3">
        <v>1110896</v>
      </c>
      <c r="I612" s="3" t="s">
        <v>20</v>
      </c>
      <c r="J612" s="3">
        <v>111.0896</v>
      </c>
      <c r="K612" s="3">
        <v>30</v>
      </c>
      <c r="L612" s="5">
        <v>8.5500000000000007E-2</v>
      </c>
      <c r="M612" s="3" t="s">
        <v>21</v>
      </c>
      <c r="N612" s="3">
        <v>1253</v>
      </c>
      <c r="O612" s="6">
        <f>Table1[[#This Row],[Current coupon %]]*Table1[[#This Row],[Face value]]/Table1[[#This Row],[Ask Price]]</f>
        <v>7.6964900404718359E-2</v>
      </c>
      <c r="P612" s="3" t="s">
        <v>297</v>
      </c>
      <c r="Q612" s="3" t="s">
        <v>22</v>
      </c>
      <c r="R612">
        <f t="shared" si="9"/>
        <v>10</v>
      </c>
      <c r="S612" s="22" cm="1">
        <f t="array" ref="S612">_xlfn.IFS(Table1[[#This Row],[Coupon frequency]]="Semi-annual",2,Table1[[#This Row],[Coupon frequency]]="Quarterly",4,Table1[[#This Row],[Coupon frequency]]="Annual",1,Table1[[#This Row],[Coupon frequency]]="Every 4 months",3,Table1[[#This Row],[Coupon frequency]]="Monthly",12)</f>
        <v>1</v>
      </c>
      <c r="T612">
        <f>Table1[[#This Row],[Term to Maturity (Years)]]*Table1[[#This Row],[Coupon Frequency2]]</f>
        <v>10</v>
      </c>
      <c r="U612">
        <f>Table1[[#This Row],[Face value]]*Table1[[#This Row],[Current coupon %]]/Table1[[#This Row],[Coupon Frequency2]]</f>
        <v>85500</v>
      </c>
      <c r="V612" s="23">
        <f>RATE(Table1[[#This Row],[Total No. of Coupons]],Table1[[#This Row],[Coupon Amount]],-Table1[[#This Row],[Ask Price]],Table1[[#This Row],[Face value]])</f>
        <v>6.9730563550973068E-2</v>
      </c>
      <c r="W612" s="24">
        <f>Table1[[#This Row],[IRR]]*Table1[[#This Row],[Coupon Frequency2]]</f>
        <v>6.9730563550973068E-2</v>
      </c>
      <c r="X612" s="25" cm="1">
        <f t="array" ref="X6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2" s="26">
        <f>DURATION(Table1[[#This Row],[Issue date]],Table1[[#This Row],[Maturity date]],Table1[[#This Row],[Current coupon %]],Table1[[#This Row],[Yield (Annualised)]],Table1[[#This Row],[Coupon Frequency2]])</f>
        <v>7.2656946234681525</v>
      </c>
      <c r="Z612" s="26">
        <f>Table1[[#This Row],[Macaulay Duration in Years]]/(1+Table1[[#This Row],[IRR]])</f>
        <v>6.792079118829383</v>
      </c>
      <c r="AA612" s="27">
        <f>VLOOKUP(Table1[[#This Row],[Yield Cluster]],'[1]Cluster Details'!$B$3:$C$16,2,0)</f>
        <v>7.8548801574189142E-2</v>
      </c>
      <c r="AB612" s="28">
        <f>PRICE(Table1[[#This Row],[Issue date]],Table1[[#This Row],[Maturity date]],Table1[[#This Row],[Current coupon %]],Table1[[#This Row],[Average Cluster Yield]],100,Table1[[#This Row],[Coupon Frequency2]])*Table1[[#This Row],[Face value]]/100</f>
        <v>1046949.9622413937</v>
      </c>
      <c r="AC612" s="27" t="str">
        <f>IF(Table1[[#This Row],[Ask Price]]&gt;Table1[[#This Row],[Calculated Bond Price]],"Rich","Cheap")</f>
        <v>Rich</v>
      </c>
      <c r="AD612" s="28">
        <f>PRICE(Table1[[#This Row],[Issue date]],Table1[[#This Row],[Maturity date]],Table1[[#This Row],[Current coupon %]],Table1[[#This Row],[Yield (Annualised)]]+$AE$2,100,Table1[[#This Row],[Coupon Frequency2]])*Table1[[#This Row],[Face value]]/100</f>
        <v>1038760.480200935</v>
      </c>
      <c r="AE612" s="28">
        <f>PRICE(Table1[[#This Row],[Issue date]],Table1[[#This Row],[Maturity date]],Table1[[#This Row],[Current coupon %]],Table1[[#This Row],[Yield (Annualised)]]-$AE$2,100,Table1[[#This Row],[Coupon Frequency2]])*Table1[[#This Row],[Face value]]/100</f>
        <v>1189907.6423509934</v>
      </c>
      <c r="AF612" s="28">
        <f>(Table1[[#This Row],[P (+ shock)]]+Table1[[#This Row],[P (-shock)]]-2*Table1[[#This Row],[Ask Price]])/(2*Table1[[#This Row],[Ask Price]]*($AE$2^2))</f>
        <v>30.94854312162558</v>
      </c>
    </row>
    <row r="613" spans="1:32" x14ac:dyDescent="0.25">
      <c r="A613" s="21" t="s">
        <v>1270</v>
      </c>
      <c r="B613" s="3" t="s">
        <v>1271</v>
      </c>
      <c r="C613" s="3" t="s">
        <v>19</v>
      </c>
      <c r="D613" s="4">
        <v>44686</v>
      </c>
      <c r="E613" s="4">
        <v>48339</v>
      </c>
      <c r="F613" s="3">
        <v>1000</v>
      </c>
      <c r="G613" s="3" t="s">
        <v>20</v>
      </c>
      <c r="H613" s="3">
        <v>975</v>
      </c>
      <c r="I613" s="3" t="s">
        <v>20</v>
      </c>
      <c r="J613" s="3">
        <v>97.5</v>
      </c>
      <c r="K613" s="3">
        <v>40</v>
      </c>
      <c r="L613" s="5">
        <v>7.4999999999999997E-2</v>
      </c>
      <c r="M613" s="3" t="s">
        <v>21</v>
      </c>
      <c r="N613" s="3">
        <v>2422</v>
      </c>
      <c r="O613" s="6">
        <f>Table1[[#This Row],[Current coupon %]]*Table1[[#This Row],[Face value]]/Table1[[#This Row],[Ask Price]]</f>
        <v>7.6923076923076927E-2</v>
      </c>
      <c r="P613" s="3" t="s">
        <v>97</v>
      </c>
      <c r="Q613" s="3" t="s">
        <v>22</v>
      </c>
      <c r="R613">
        <f t="shared" si="9"/>
        <v>10</v>
      </c>
      <c r="S613" s="22" cm="1">
        <f t="array" ref="S613">_xlfn.IFS(Table1[[#This Row],[Coupon frequency]]="Semi-annual",2,Table1[[#This Row],[Coupon frequency]]="Quarterly",4,Table1[[#This Row],[Coupon frequency]]="Annual",1,Table1[[#This Row],[Coupon frequency]]="Every 4 months",3,Table1[[#This Row],[Coupon frequency]]="Monthly",12)</f>
        <v>1</v>
      </c>
      <c r="T613">
        <f>Table1[[#This Row],[Term to Maturity (Years)]]*Table1[[#This Row],[Coupon Frequency2]]</f>
        <v>10</v>
      </c>
      <c r="U613">
        <f>Table1[[#This Row],[Face value]]*Table1[[#This Row],[Current coupon %]]/Table1[[#This Row],[Coupon Frequency2]]</f>
        <v>75</v>
      </c>
      <c r="V613" s="23">
        <f>RATE(Table1[[#This Row],[Total No. of Coupons]],Table1[[#This Row],[Coupon Amount]],-Table1[[#This Row],[Ask Price]],Table1[[#This Row],[Face value]])</f>
        <v>7.8703987057019698E-2</v>
      </c>
      <c r="W613" s="24">
        <f>Table1[[#This Row],[IRR]]*Table1[[#This Row],[Coupon Frequency2]]</f>
        <v>7.8703987057019698E-2</v>
      </c>
      <c r="X613" s="25" cm="1">
        <f t="array" ref="X6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3" s="26">
        <f>DURATION(Table1[[#This Row],[Issue date]],Table1[[#This Row],[Maturity date]],Table1[[#This Row],[Current coupon %]],Table1[[#This Row],[Yield (Annualised)]],Table1[[#This Row],[Coupon Frequency2]])</f>
        <v>7.3422272086989491</v>
      </c>
      <c r="Z613" s="26">
        <f>Table1[[#This Row],[Macaulay Duration in Years]]/(1+Table1[[#This Row],[IRR]])</f>
        <v>6.8065264398720009</v>
      </c>
      <c r="AA613" s="27">
        <f>VLOOKUP(Table1[[#This Row],[Yield Cluster]],'[1]Cluster Details'!$B$3:$C$16,2,0)</f>
        <v>7.8548801574189142E-2</v>
      </c>
      <c r="AB613" s="28">
        <f>PRICE(Table1[[#This Row],[Issue date]],Table1[[#This Row],[Maturity date]],Table1[[#This Row],[Current coupon %]],Table1[[#This Row],[Average Cluster Yield]],100,Table1[[#This Row],[Coupon Frequency2]])*Table1[[#This Row],[Face value]]/100</f>
        <v>976.0305936179725</v>
      </c>
      <c r="AC613" s="27" t="str">
        <f>IF(Table1[[#This Row],[Ask Price]]&gt;Table1[[#This Row],[Calculated Bond Price]],"Rich","Cheap")</f>
        <v>Cheap</v>
      </c>
      <c r="AD613" s="28">
        <f>PRICE(Table1[[#This Row],[Issue date]],Table1[[#This Row],[Maturity date]],Table1[[#This Row],[Current coupon %]],Table1[[#This Row],[Yield (Annualised)]]+$AE$2,100,Table1[[#This Row],[Coupon Frequency2]])*Table1[[#This Row],[Face value]]/100</f>
        <v>911.54856853880801</v>
      </c>
      <c r="AE613" s="28">
        <f>PRICE(Table1[[#This Row],[Issue date]],Table1[[#This Row],[Maturity date]],Table1[[#This Row],[Current coupon %]],Table1[[#This Row],[Yield (Annualised)]]-$AE$2,100,Table1[[#This Row],[Coupon Frequency2]])*Table1[[#This Row],[Face value]]/100</f>
        <v>1044.4866976353444</v>
      </c>
      <c r="AF613" s="28">
        <f>(Table1[[#This Row],[P (+ shock)]]+Table1[[#This Row],[P (-shock)]]-2*Table1[[#This Row],[Ask Price]])/(2*Table1[[#This Row],[Ask Price]]*($AE$2^2))</f>
        <v>30.950082944371342</v>
      </c>
    </row>
    <row r="614" spans="1:32" x14ac:dyDescent="0.25">
      <c r="A614" s="21" t="s">
        <v>1272</v>
      </c>
      <c r="B614" s="3" t="s">
        <v>1273</v>
      </c>
      <c r="C614" s="3" t="s">
        <v>19</v>
      </c>
      <c r="D614" s="4">
        <v>44322</v>
      </c>
      <c r="E614" s="4">
        <v>46879</v>
      </c>
      <c r="F614" s="3">
        <v>1000</v>
      </c>
      <c r="G614" s="3" t="s">
        <v>20</v>
      </c>
      <c r="H614" s="3">
        <v>1000</v>
      </c>
      <c r="I614" s="3" t="s">
        <v>20</v>
      </c>
      <c r="J614" s="3">
        <v>100</v>
      </c>
      <c r="K614" s="3">
        <v>125</v>
      </c>
      <c r="L614" s="5">
        <v>7.690000000000001E-2</v>
      </c>
      <c r="M614" s="3" t="s">
        <v>44</v>
      </c>
      <c r="N614" s="3">
        <v>962</v>
      </c>
      <c r="O614" s="6">
        <f>Table1[[#This Row],[Current coupon %]]*Table1[[#This Row],[Face value]]/Table1[[#This Row],[Ask Price]]</f>
        <v>7.690000000000001E-2</v>
      </c>
      <c r="P614" s="3"/>
      <c r="Q614" s="3" t="s">
        <v>22</v>
      </c>
      <c r="R614">
        <f t="shared" si="9"/>
        <v>7</v>
      </c>
      <c r="S614" s="22" cm="1">
        <f t="array" ref="S614">_xlfn.IFS(Table1[[#This Row],[Coupon frequency]]="Semi-annual",2,Table1[[#This Row],[Coupon frequency]]="Quarterly",4,Table1[[#This Row],[Coupon frequency]]="Annual",1,Table1[[#This Row],[Coupon frequency]]="Every 4 months",3,Table1[[#This Row],[Coupon frequency]]="Monthly",12)</f>
        <v>4</v>
      </c>
      <c r="T614">
        <f>Table1[[#This Row],[Term to Maturity (Years)]]*Table1[[#This Row],[Coupon Frequency2]]</f>
        <v>28</v>
      </c>
      <c r="U614">
        <f>Table1[[#This Row],[Face value]]*Table1[[#This Row],[Current coupon %]]/Table1[[#This Row],[Coupon Frequency2]]</f>
        <v>19.225000000000001</v>
      </c>
      <c r="V614" s="23">
        <f>RATE(Table1[[#This Row],[Total No. of Coupons]],Table1[[#This Row],[Coupon Amount]],-Table1[[#This Row],[Ask Price]],Table1[[#This Row],[Face value]])</f>
        <v>1.9225000000013381E-2</v>
      </c>
      <c r="W614" s="24">
        <f>Table1[[#This Row],[IRR]]*Table1[[#This Row],[Coupon Frequency2]]</f>
        <v>7.6900000000053523E-2</v>
      </c>
      <c r="X614" s="25" cm="1">
        <f t="array" ref="X6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4" s="26">
        <f>DURATION(Table1[[#This Row],[Issue date]],Table1[[#This Row],[Maturity date]],Table1[[#This Row],[Current coupon %]],Table1[[#This Row],[Yield (Annualised)]],Table1[[#This Row],[Coupon Frequency2]])</f>
        <v>5.4774431370489198</v>
      </c>
      <c r="Z614" s="26">
        <f>Table1[[#This Row],[Macaulay Duration in Years]]/(1+Table1[[#This Row],[IRR]])</f>
        <v>5.3741255729096595</v>
      </c>
      <c r="AA614" s="27">
        <f>VLOOKUP(Table1[[#This Row],[Yield Cluster]],'[1]Cluster Details'!$B$3:$C$16,2,0)</f>
        <v>7.8548801574189142E-2</v>
      </c>
      <c r="AB614" s="28">
        <f>PRICE(Table1[[#This Row],[Issue date]],Table1[[#This Row],[Maturity date]],Table1[[#This Row],[Current coupon %]],Table1[[#This Row],[Average Cluster Yield]],100,Table1[[#This Row],[Coupon Frequency2]])*Table1[[#This Row],[Face value]]/100</f>
        <v>991.18648007271111</v>
      </c>
      <c r="AC614" s="27" t="str">
        <f>IF(Table1[[#This Row],[Ask Price]]&gt;Table1[[#This Row],[Calculated Bond Price]],"Rich","Cheap")</f>
        <v>Rich</v>
      </c>
      <c r="AD614" s="28">
        <f>PRICE(Table1[[#This Row],[Issue date]],Table1[[#This Row],[Maturity date]],Table1[[#This Row],[Current coupon %]],Table1[[#This Row],[Yield (Annualised)]]+$AE$2,100,Table1[[#This Row],[Coupon Frequency2]])*Table1[[#This Row],[Face value]]/100</f>
        <v>947.96686469333406</v>
      </c>
      <c r="AE614" s="28">
        <f>PRICE(Table1[[#This Row],[Issue date]],Table1[[#This Row],[Maturity date]],Table1[[#This Row],[Current coupon %]],Table1[[#This Row],[Yield (Annualised)]]-$AE$2,100,Table1[[#This Row],[Coupon Frequency2]])*Table1[[#This Row],[Face value]]/100</f>
        <v>1055.5313675393995</v>
      </c>
      <c r="AF614" s="28">
        <f>(Table1[[#This Row],[P (+ shock)]]+Table1[[#This Row],[P (-shock)]]-2*Table1[[#This Row],[Ask Price]])/(2*Table1[[#This Row],[Ask Price]]*($AE$2^2))</f>
        <v>17.491161163668494</v>
      </c>
    </row>
    <row r="615" spans="1:32" x14ac:dyDescent="0.25">
      <c r="A615" s="21" t="s">
        <v>1274</v>
      </c>
      <c r="B615" s="3" t="s">
        <v>1275</v>
      </c>
      <c r="C615" s="3" t="s">
        <v>19</v>
      </c>
      <c r="D615" s="4">
        <v>41580</v>
      </c>
      <c r="E615" s="4">
        <v>47059</v>
      </c>
      <c r="F615" s="3">
        <v>1000</v>
      </c>
      <c r="G615" s="3" t="s">
        <v>20</v>
      </c>
      <c r="H615" s="3">
        <v>1111.1099999999999</v>
      </c>
      <c r="I615" s="3" t="s">
        <v>20</v>
      </c>
      <c r="J615" s="3">
        <v>111.110999999999</v>
      </c>
      <c r="K615" s="3">
        <v>1302</v>
      </c>
      <c r="L615" s="5">
        <v>8.539999999999999E-2</v>
      </c>
      <c r="M615" s="3" t="s">
        <v>21</v>
      </c>
      <c r="N615" s="3">
        <v>1142</v>
      </c>
      <c r="O615" s="6">
        <f>Table1[[#This Row],[Current coupon %]]*Table1[[#This Row],[Face value]]/Table1[[#This Row],[Ask Price]]</f>
        <v>7.6860076860076856E-2</v>
      </c>
      <c r="P615" s="3" t="s">
        <v>54</v>
      </c>
      <c r="Q615" s="3" t="s">
        <v>22</v>
      </c>
      <c r="R615">
        <f t="shared" si="9"/>
        <v>15</v>
      </c>
      <c r="S615" s="22" cm="1">
        <f t="array" ref="S615">_xlfn.IFS(Table1[[#This Row],[Coupon frequency]]="Semi-annual",2,Table1[[#This Row],[Coupon frequency]]="Quarterly",4,Table1[[#This Row],[Coupon frequency]]="Annual",1,Table1[[#This Row],[Coupon frequency]]="Every 4 months",3,Table1[[#This Row],[Coupon frequency]]="Monthly",12)</f>
        <v>1</v>
      </c>
      <c r="T615">
        <f>Table1[[#This Row],[Term to Maturity (Years)]]*Table1[[#This Row],[Coupon Frequency2]]</f>
        <v>15</v>
      </c>
      <c r="U615">
        <f>Table1[[#This Row],[Face value]]*Table1[[#This Row],[Current coupon %]]/Table1[[#This Row],[Coupon Frequency2]]</f>
        <v>85.399999999999991</v>
      </c>
      <c r="V615" s="23">
        <f>RATE(Table1[[#This Row],[Total No. of Coupons]],Table1[[#This Row],[Coupon Amount]],-Table1[[#This Row],[Ask Price]],Table1[[#This Row],[Face value]])</f>
        <v>7.2970818217672095E-2</v>
      </c>
      <c r="W615" s="24">
        <f>Table1[[#This Row],[IRR]]*Table1[[#This Row],[Coupon Frequency2]]</f>
        <v>7.2970818217672095E-2</v>
      </c>
      <c r="X615" s="25" cm="1">
        <f t="array" ref="X6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5" s="26">
        <f>DURATION(Table1[[#This Row],[Issue date]],Table1[[#This Row],[Maturity date]],Table1[[#This Row],[Current coupon %]],Table1[[#This Row],[Yield (Annualised)]],Table1[[#This Row],[Coupon Frequency2]])</f>
        <v>9.3035121760539123</v>
      </c>
      <c r="Z615" s="26">
        <f>Table1[[#This Row],[Macaulay Duration in Years]]/(1+Table1[[#This Row],[IRR]])</f>
        <v>8.6707970227075855</v>
      </c>
      <c r="AA615" s="27">
        <f>VLOOKUP(Table1[[#This Row],[Yield Cluster]],'[1]Cluster Details'!$B$3:$C$16,2,0)</f>
        <v>7.8548801574189142E-2</v>
      </c>
      <c r="AB615" s="28">
        <f>PRICE(Table1[[#This Row],[Issue date]],Table1[[#This Row],[Maturity date]],Table1[[#This Row],[Current coupon %]],Table1[[#This Row],[Average Cluster Yield]],100,Table1[[#This Row],[Coupon Frequency2]])*Table1[[#This Row],[Face value]]/100</f>
        <v>1059.1659164570706</v>
      </c>
      <c r="AC615" s="27" t="str">
        <f>IF(Table1[[#This Row],[Ask Price]]&gt;Table1[[#This Row],[Calculated Bond Price]],"Rich","Cheap")</f>
        <v>Rich</v>
      </c>
      <c r="AD615" s="28">
        <f>PRICE(Table1[[#This Row],[Issue date]],Table1[[#This Row],[Maturity date]],Table1[[#This Row],[Current coupon %]],Table1[[#This Row],[Yield (Annualised)]]+$AE$2,100,Table1[[#This Row],[Coupon Frequency2]])*Table1[[#This Row],[Face value]]/100</f>
        <v>1020.4206116427879</v>
      </c>
      <c r="AE615" s="28">
        <f>PRICE(Table1[[#This Row],[Issue date]],Table1[[#This Row],[Maturity date]],Table1[[#This Row],[Current coupon %]],Table1[[#This Row],[Yield (Annualised)]]-$AE$2,100,Table1[[#This Row],[Coupon Frequency2]])*Table1[[#This Row],[Face value]]/100</f>
        <v>1213.6709136797188</v>
      </c>
      <c r="AF615" s="28">
        <f>(Table1[[#This Row],[P (+ shock)]]+Table1[[#This Row],[P (-shock)]]-2*Table1[[#This Row],[Ask Price]])/(2*Table1[[#This Row],[Ask Price]]*($AE$2^2))</f>
        <v>53.421917373198156</v>
      </c>
    </row>
    <row r="616" spans="1:32" x14ac:dyDescent="0.25">
      <c r="A616" s="21" t="s">
        <v>1276</v>
      </c>
      <c r="B616" s="3" t="s">
        <v>1277</v>
      </c>
      <c r="C616" s="3" t="s">
        <v>19</v>
      </c>
      <c r="D616" s="4">
        <v>41661</v>
      </c>
      <c r="E616" s="4">
        <v>47140</v>
      </c>
      <c r="F616" s="3">
        <v>1000</v>
      </c>
      <c r="G616" s="3" t="s">
        <v>20</v>
      </c>
      <c r="H616" s="3">
        <v>1104</v>
      </c>
      <c r="I616" s="3" t="s">
        <v>20</v>
      </c>
      <c r="J616" s="3">
        <v>110.4</v>
      </c>
      <c r="K616" s="3">
        <v>100</v>
      </c>
      <c r="L616" s="5">
        <v>8.48E-2</v>
      </c>
      <c r="M616" s="3" t="s">
        <v>21</v>
      </c>
      <c r="N616" s="3">
        <v>1223</v>
      </c>
      <c r="O616" s="6">
        <f>Table1[[#This Row],[Current coupon %]]*Table1[[#This Row],[Face value]]/Table1[[#This Row],[Ask Price]]</f>
        <v>7.6811594202898542E-2</v>
      </c>
      <c r="P616" s="3" t="s">
        <v>54</v>
      </c>
      <c r="Q616" s="3" t="s">
        <v>22</v>
      </c>
      <c r="R616">
        <f t="shared" si="9"/>
        <v>15</v>
      </c>
      <c r="S616" s="22" cm="1">
        <f t="array" ref="S616">_xlfn.IFS(Table1[[#This Row],[Coupon frequency]]="Semi-annual",2,Table1[[#This Row],[Coupon frequency]]="Quarterly",4,Table1[[#This Row],[Coupon frequency]]="Annual",1,Table1[[#This Row],[Coupon frequency]]="Every 4 months",3,Table1[[#This Row],[Coupon frequency]]="Monthly",12)</f>
        <v>1</v>
      </c>
      <c r="T616">
        <f>Table1[[#This Row],[Term to Maturity (Years)]]*Table1[[#This Row],[Coupon Frequency2]]</f>
        <v>15</v>
      </c>
      <c r="U616">
        <f>Table1[[#This Row],[Face value]]*Table1[[#This Row],[Current coupon %]]/Table1[[#This Row],[Coupon Frequency2]]</f>
        <v>84.8</v>
      </c>
      <c r="V616" s="23">
        <f>RATE(Table1[[#This Row],[Total No. of Coupons]],Table1[[#This Row],[Coupon Amount]],-Table1[[#This Row],[Ask Price]],Table1[[#This Row],[Face value]])</f>
        <v>7.3152919032966834E-2</v>
      </c>
      <c r="W616" s="24">
        <f>Table1[[#This Row],[IRR]]*Table1[[#This Row],[Coupon Frequency2]]</f>
        <v>7.3152919032966834E-2</v>
      </c>
      <c r="X616" s="25" cm="1">
        <f t="array" ref="X6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6" s="26">
        <f>DURATION(Table1[[#This Row],[Issue date]],Table1[[#This Row],[Maturity date]],Table1[[#This Row],[Current coupon %]],Table1[[#This Row],[Yield (Annualised)]],Table1[[#This Row],[Coupon Frequency2]])</f>
        <v>9.3115262600301207</v>
      </c>
      <c r="Z616" s="26">
        <f>Table1[[#This Row],[Macaulay Duration in Years]]/(1+Table1[[#This Row],[IRR]])</f>
        <v>8.676793488500099</v>
      </c>
      <c r="AA616" s="27">
        <f>VLOOKUP(Table1[[#This Row],[Yield Cluster]],'[1]Cluster Details'!$B$3:$C$16,2,0)</f>
        <v>7.8548801574189142E-2</v>
      </c>
      <c r="AB616" s="28">
        <f>PRICE(Table1[[#This Row],[Issue date]],Table1[[#This Row],[Maturity date]],Table1[[#This Row],[Current coupon %]],Table1[[#This Row],[Average Cluster Yield]],100,Table1[[#This Row],[Coupon Frequency2]])*Table1[[#This Row],[Face value]]/100</f>
        <v>1053.9844069359767</v>
      </c>
      <c r="AC616" s="27" t="str">
        <f>IF(Table1[[#This Row],[Ask Price]]&gt;Table1[[#This Row],[Calculated Bond Price]],"Rich","Cheap")</f>
        <v>Rich</v>
      </c>
      <c r="AD616" s="28">
        <f>PRICE(Table1[[#This Row],[Issue date]],Table1[[#This Row],[Maturity date]],Table1[[#This Row],[Current coupon %]],Table1[[#This Row],[Yield (Annualised)]]+$AE$2,100,Table1[[#This Row],[Coupon Frequency2]])*Table1[[#This Row],[Face value]]/100</f>
        <v>1013.8307507732206</v>
      </c>
      <c r="AE616" s="28">
        <f>PRICE(Table1[[#This Row],[Issue date]],Table1[[#This Row],[Maturity date]],Table1[[#This Row],[Current coupon %]],Table1[[#This Row],[Yield (Annualised)]]-$AE$2,100,Table1[[#This Row],[Coupon Frequency2]])*Table1[[#This Row],[Face value]]/100</f>
        <v>1205.9775633296601</v>
      </c>
      <c r="AF616" s="28">
        <f>(Table1[[#This Row],[P (+ shock)]]+Table1[[#This Row],[P (-shock)]]-2*Table1[[#This Row],[Ask Price]])/(2*Table1[[#This Row],[Ask Price]]*($AE$2^2))</f>
        <v>53.479683436961103</v>
      </c>
    </row>
    <row r="617" spans="1:32" x14ac:dyDescent="0.25">
      <c r="A617" s="21" t="s">
        <v>1278</v>
      </c>
      <c r="B617" s="3" t="s">
        <v>1279</v>
      </c>
      <c r="C617" s="3" t="s">
        <v>19</v>
      </c>
      <c r="D617" s="4">
        <v>40995</v>
      </c>
      <c r="E617" s="4">
        <v>46473</v>
      </c>
      <c r="F617" s="3">
        <v>1000</v>
      </c>
      <c r="G617" s="3" t="s">
        <v>20</v>
      </c>
      <c r="H617" s="3">
        <v>1058</v>
      </c>
      <c r="I617" s="3" t="s">
        <v>20</v>
      </c>
      <c r="J617" s="3">
        <v>105.8</v>
      </c>
      <c r="K617" s="3">
        <v>2128</v>
      </c>
      <c r="L617" s="5">
        <v>8.1199999999999994E-2</v>
      </c>
      <c r="M617" s="3" t="s">
        <v>21</v>
      </c>
      <c r="N617" s="3">
        <v>556</v>
      </c>
      <c r="O617" s="6">
        <f>Table1[[#This Row],[Current coupon %]]*Table1[[#This Row],[Face value]]/Table1[[#This Row],[Ask Price]]</f>
        <v>7.6748582230623807E-2</v>
      </c>
      <c r="P617" s="3"/>
      <c r="Q617" s="3" t="s">
        <v>22</v>
      </c>
      <c r="R617">
        <f t="shared" si="9"/>
        <v>15</v>
      </c>
      <c r="S617" s="22" cm="1">
        <f t="array" ref="S617">_xlfn.IFS(Table1[[#This Row],[Coupon frequency]]="Semi-annual",2,Table1[[#This Row],[Coupon frequency]]="Quarterly",4,Table1[[#This Row],[Coupon frequency]]="Annual",1,Table1[[#This Row],[Coupon frequency]]="Every 4 months",3,Table1[[#This Row],[Coupon frequency]]="Monthly",12)</f>
        <v>1</v>
      </c>
      <c r="T617">
        <f>Table1[[#This Row],[Term to Maturity (Years)]]*Table1[[#This Row],[Coupon Frequency2]]</f>
        <v>15</v>
      </c>
      <c r="U617">
        <f>Table1[[#This Row],[Face value]]*Table1[[#This Row],[Current coupon %]]/Table1[[#This Row],[Coupon Frequency2]]</f>
        <v>81.199999999999989</v>
      </c>
      <c r="V617" s="23">
        <f>RATE(Table1[[#This Row],[Total No. of Coupons]],Table1[[#This Row],[Coupon Amount]],-Table1[[#This Row],[Ask Price]],Table1[[#This Row],[Face value]])</f>
        <v>7.4643864940380514E-2</v>
      </c>
      <c r="W617" s="24">
        <f>Table1[[#This Row],[IRR]]*Table1[[#This Row],[Coupon Frequency2]]</f>
        <v>7.4643864940380514E-2</v>
      </c>
      <c r="X617" s="25" cm="1">
        <f t="array" ref="X6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7" s="26">
        <f>DURATION(Table1[[#This Row],[Issue date]],Table1[[#This Row],[Maturity date]],Table1[[#This Row],[Current coupon %]],Table1[[#This Row],[Yield (Annualised)]],Table1[[#This Row],[Coupon Frequency2]])</f>
        <v>9.3521414111269223</v>
      </c>
      <c r="Z617" s="26">
        <f>Table1[[#This Row],[Macaulay Duration in Years]]/(1+Table1[[#This Row],[IRR]])</f>
        <v>8.7025494828891663</v>
      </c>
      <c r="AA617" s="27">
        <f>VLOOKUP(Table1[[#This Row],[Yield Cluster]],'[1]Cluster Details'!$B$3:$C$16,2,0)</f>
        <v>7.8548801574189142E-2</v>
      </c>
      <c r="AB617" s="28">
        <f>PRICE(Table1[[#This Row],[Issue date]],Table1[[#This Row],[Maturity date]],Table1[[#This Row],[Current coupon %]],Table1[[#This Row],[Average Cluster Yield]],100,Table1[[#This Row],[Coupon Frequency2]])*Table1[[#This Row],[Face value]]/100</f>
        <v>1022.895349809414</v>
      </c>
      <c r="AC617" s="27" t="str">
        <f>IF(Table1[[#This Row],[Ask Price]]&gt;Table1[[#This Row],[Calculated Bond Price]],"Rich","Cheap")</f>
        <v>Rich</v>
      </c>
      <c r="AD617" s="28">
        <f>PRICE(Table1[[#This Row],[Issue date]],Table1[[#This Row],[Maturity date]],Table1[[#This Row],[Current coupon %]],Table1[[#This Row],[Yield (Annualised)]]+$AE$2,100,Table1[[#This Row],[Coupon Frequency2]])*Table1[[#This Row],[Face value]]/100</f>
        <v>971.34008071401695</v>
      </c>
      <c r="AE617" s="28">
        <f>PRICE(Table1[[#This Row],[Issue date]],Table1[[#This Row],[Maturity date]],Table1[[#This Row],[Current coupon %]],Table1[[#This Row],[Yield (Annualised)]]-$AE$2,100,Table1[[#This Row],[Coupon Frequency2]])*Table1[[#This Row],[Face value]]/100</f>
        <v>1156.0286321449173</v>
      </c>
      <c r="AF617" s="28">
        <f>(Table1[[#This Row],[P (+ shock)]]+Table1[[#This Row],[P (-shock)]]-2*Table1[[#This Row],[Ask Price]])/(2*Table1[[#This Row],[Ask Price]]*($AE$2^2))</f>
        <v>53.727376459992847</v>
      </c>
    </row>
    <row r="618" spans="1:32" x14ac:dyDescent="0.25">
      <c r="A618" s="21" t="s">
        <v>1280</v>
      </c>
      <c r="B618" s="3" t="s">
        <v>1281</v>
      </c>
      <c r="C618" s="3" t="s">
        <v>19</v>
      </c>
      <c r="D618" s="4">
        <v>45208</v>
      </c>
      <c r="E618" s="4">
        <v>47035</v>
      </c>
      <c r="F618" s="3">
        <v>1000</v>
      </c>
      <c r="G618" s="3" t="s">
        <v>20</v>
      </c>
      <c r="H618" s="3">
        <v>1049</v>
      </c>
      <c r="I618" s="3" t="s">
        <v>20</v>
      </c>
      <c r="J618" s="3">
        <v>104.899999999999</v>
      </c>
      <c r="K618" s="3">
        <v>1</v>
      </c>
      <c r="L618" s="5">
        <v>8.0500000000000002E-2</v>
      </c>
      <c r="M618" s="3" t="s">
        <v>21</v>
      </c>
      <c r="N618" s="3">
        <v>1118</v>
      </c>
      <c r="O618" s="6">
        <f>Table1[[#This Row],[Current coupon %]]*Table1[[#This Row],[Face value]]/Table1[[#This Row],[Ask Price]]</f>
        <v>7.6739752144899906E-2</v>
      </c>
      <c r="P618" s="3"/>
      <c r="Q618" s="3" t="s">
        <v>22</v>
      </c>
      <c r="R618">
        <f t="shared" si="9"/>
        <v>5</v>
      </c>
      <c r="S618" s="22" cm="1">
        <f t="array" ref="S618">_xlfn.IFS(Table1[[#This Row],[Coupon frequency]]="Semi-annual",2,Table1[[#This Row],[Coupon frequency]]="Quarterly",4,Table1[[#This Row],[Coupon frequency]]="Annual",1,Table1[[#This Row],[Coupon frequency]]="Every 4 months",3,Table1[[#This Row],[Coupon frequency]]="Monthly",12)</f>
        <v>1</v>
      </c>
      <c r="T618">
        <f>Table1[[#This Row],[Term to Maturity (Years)]]*Table1[[#This Row],[Coupon Frequency2]]</f>
        <v>5</v>
      </c>
      <c r="U618">
        <f>Table1[[#This Row],[Face value]]*Table1[[#This Row],[Current coupon %]]/Table1[[#This Row],[Coupon Frequency2]]</f>
        <v>80.5</v>
      </c>
      <c r="V618" s="23">
        <f>RATE(Table1[[#This Row],[Total No. of Coupons]],Table1[[#This Row],[Coupon Amount]],-Table1[[#This Row],[Ask Price]],Table1[[#This Row],[Face value]])</f>
        <v>6.8594301087477966E-2</v>
      </c>
      <c r="W618" s="24">
        <f>Table1[[#This Row],[IRR]]*Table1[[#This Row],[Coupon Frequency2]]</f>
        <v>6.8594301087477966E-2</v>
      </c>
      <c r="X618" s="25" cm="1">
        <f t="array" ref="X6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8" s="26">
        <f>DURATION(Table1[[#This Row],[Issue date]],Table1[[#This Row],[Maturity date]],Table1[[#This Row],[Current coupon %]],Table1[[#This Row],[Yield (Annualised)]],Table1[[#This Row],[Coupon Frequency2]])</f>
        <v>4.3265001290690597</v>
      </c>
      <c r="Z618" s="26">
        <f>Table1[[#This Row],[Macaulay Duration in Years]]/(1+Table1[[#This Row],[IRR]])</f>
        <v>4.0487770940441141</v>
      </c>
      <c r="AA618" s="27">
        <f>VLOOKUP(Table1[[#This Row],[Yield Cluster]],'[1]Cluster Details'!$B$3:$C$16,2,0)</f>
        <v>7.8548801574189142E-2</v>
      </c>
      <c r="AB618" s="28">
        <f>PRICE(Table1[[#This Row],[Issue date]],Table1[[#This Row],[Maturity date]],Table1[[#This Row],[Current coupon %]],Table1[[#This Row],[Average Cluster Yield]],100,Table1[[#This Row],[Coupon Frequency2]])*Table1[[#This Row],[Face value]]/100</f>
        <v>1007.820458193285</v>
      </c>
      <c r="AC618" s="27" t="str">
        <f>IF(Table1[[#This Row],[Ask Price]]&gt;Table1[[#This Row],[Calculated Bond Price]],"Rich","Cheap")</f>
        <v>Rich</v>
      </c>
      <c r="AD618" s="28">
        <f>PRICE(Table1[[#This Row],[Issue date]],Table1[[#This Row],[Maturity date]],Table1[[#This Row],[Current coupon %]],Table1[[#This Row],[Yield (Annualised)]]+$AE$2,100,Table1[[#This Row],[Coupon Frequency2]])*Table1[[#This Row],[Face value]]/100</f>
        <v>1007.6371769027554</v>
      </c>
      <c r="AE618" s="28">
        <f>PRICE(Table1[[#This Row],[Issue date]],Table1[[#This Row],[Maturity date]],Table1[[#This Row],[Current coupon %]],Table1[[#This Row],[Yield (Annualised)]]-$AE$2,100,Table1[[#This Row],[Coupon Frequency2]])*Table1[[#This Row],[Face value]]/100</f>
        <v>1092.6287115480375</v>
      </c>
      <c r="AF618" s="28">
        <f>(Table1[[#This Row],[P (+ shock)]]+Table1[[#This Row],[P (-shock)]]-2*Table1[[#This Row],[Ask Price]])/(2*Table1[[#This Row],[Ask Price]]*($AE$2^2))</f>
        <v>10.800230938001775</v>
      </c>
    </row>
    <row r="619" spans="1:32" x14ac:dyDescent="0.25">
      <c r="A619" s="21" t="s">
        <v>1282</v>
      </c>
      <c r="B619" s="3" t="s">
        <v>1283</v>
      </c>
      <c r="C619" s="3" t="s">
        <v>19</v>
      </c>
      <c r="D619" s="4">
        <v>45069</v>
      </c>
      <c r="E619" s="4">
        <v>48722</v>
      </c>
      <c r="F619" s="3">
        <v>1000000</v>
      </c>
      <c r="G619" s="3" t="s">
        <v>20</v>
      </c>
      <c r="H619" s="3">
        <v>1006532.5</v>
      </c>
      <c r="I619" s="3" t="s">
        <v>20</v>
      </c>
      <c r="J619" s="3">
        <v>100.65325</v>
      </c>
      <c r="K619" s="3">
        <v>1</v>
      </c>
      <c r="L619" s="5">
        <v>7.7199999999999991E-2</v>
      </c>
      <c r="M619" s="3" t="s">
        <v>21</v>
      </c>
      <c r="N619" s="3">
        <v>2805</v>
      </c>
      <c r="O619" s="6">
        <f>Table1[[#This Row],[Current coupon %]]*Table1[[#This Row],[Face value]]/Table1[[#This Row],[Ask Price]]</f>
        <v>7.6698964017555299E-2</v>
      </c>
      <c r="P619" s="3" t="s">
        <v>297</v>
      </c>
      <c r="Q619" s="3" t="s">
        <v>22</v>
      </c>
      <c r="R619">
        <f t="shared" si="9"/>
        <v>10</v>
      </c>
      <c r="S619" s="22" cm="1">
        <f t="array" ref="S619">_xlfn.IFS(Table1[[#This Row],[Coupon frequency]]="Semi-annual",2,Table1[[#This Row],[Coupon frequency]]="Quarterly",4,Table1[[#This Row],[Coupon frequency]]="Annual",1,Table1[[#This Row],[Coupon frequency]]="Every 4 months",3,Table1[[#This Row],[Coupon frequency]]="Monthly",12)</f>
        <v>1</v>
      </c>
      <c r="T619">
        <f>Table1[[#This Row],[Term to Maturity (Years)]]*Table1[[#This Row],[Coupon Frequency2]]</f>
        <v>10</v>
      </c>
      <c r="U619">
        <f>Table1[[#This Row],[Face value]]*Table1[[#This Row],[Current coupon %]]/Table1[[#This Row],[Coupon Frequency2]]</f>
        <v>77199.999999999985</v>
      </c>
      <c r="V619" s="23">
        <f>RATE(Table1[[#This Row],[Total No. of Coupons]],Table1[[#This Row],[Coupon Amount]],-Table1[[#This Row],[Ask Price]],Table1[[#This Row],[Face value]])</f>
        <v>7.6242898562306288E-2</v>
      </c>
      <c r="W619" s="24">
        <f>Table1[[#This Row],[IRR]]*Table1[[#This Row],[Coupon Frequency2]]</f>
        <v>7.6242898562306288E-2</v>
      </c>
      <c r="X619" s="25" cm="1">
        <f t="array" ref="X6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19" s="26">
        <f>DURATION(Table1[[#This Row],[Issue date]],Table1[[#This Row],[Maturity date]],Table1[[#This Row],[Current coupon %]],Table1[[#This Row],[Yield (Annualised)]],Table1[[#This Row],[Coupon Frequency2]])</f>
        <v>7.3297981727310138</v>
      </c>
      <c r="Z619" s="26">
        <f>Table1[[#This Row],[Macaulay Duration in Years]]/(1+Table1[[#This Row],[IRR]])</f>
        <v>6.8105426595822269</v>
      </c>
      <c r="AA619" s="27">
        <f>VLOOKUP(Table1[[#This Row],[Yield Cluster]],'[1]Cluster Details'!$B$3:$C$16,2,0)</f>
        <v>7.8548801574189142E-2</v>
      </c>
      <c r="AB619" s="28">
        <f>PRICE(Table1[[#This Row],[Issue date]],Table1[[#This Row],[Maturity date]],Table1[[#This Row],[Current coupon %]],Table1[[#This Row],[Average Cluster Yield]],100,Table1[[#This Row],[Coupon Frequency2]])*Table1[[#This Row],[Face value]]/100</f>
        <v>990889.88990097505</v>
      </c>
      <c r="AC619" s="27" t="str">
        <f>IF(Table1[[#This Row],[Ask Price]]&gt;Table1[[#This Row],[Calculated Bond Price]],"Rich","Cheap")</f>
        <v>Rich</v>
      </c>
      <c r="AD619" s="28">
        <f>PRICE(Table1[[#This Row],[Issue date]],Table1[[#This Row],[Maturity date]],Table1[[#This Row],[Current coupon %]],Table1[[#This Row],[Yield (Annualised)]]+$AE$2,100,Table1[[#This Row],[Coupon Frequency2]])*Table1[[#This Row],[Face value]]/100</f>
        <v>940993.57671677694</v>
      </c>
      <c r="AE619" s="28">
        <f>PRICE(Table1[[#This Row],[Issue date]],Table1[[#This Row],[Maturity date]],Table1[[#This Row],[Current coupon %]],Table1[[#This Row],[Yield (Annualised)]]-$AE$2,100,Table1[[#This Row],[Coupon Frequency2]])*Table1[[#This Row],[Face value]]/100</f>
        <v>1078312.6169224803</v>
      </c>
      <c r="AF619" s="28">
        <f>(Table1[[#This Row],[P (+ shock)]]+Table1[[#This Row],[P (-shock)]]-2*Table1[[#This Row],[Ask Price]])/(2*Table1[[#This Row],[Ask Price]]*($AE$2^2))</f>
        <v>31.003438236009391</v>
      </c>
    </row>
    <row r="620" spans="1:32" x14ac:dyDescent="0.25">
      <c r="A620" s="21" t="s">
        <v>1284</v>
      </c>
      <c r="B620" s="3" t="s">
        <v>1285</v>
      </c>
      <c r="C620" s="3" t="s">
        <v>19</v>
      </c>
      <c r="D620" s="4">
        <v>44704</v>
      </c>
      <c r="E620" s="4">
        <v>46528</v>
      </c>
      <c r="F620" s="3">
        <v>1000000</v>
      </c>
      <c r="G620" s="3" t="s">
        <v>20</v>
      </c>
      <c r="H620" s="3">
        <v>1005000</v>
      </c>
      <c r="I620" s="3" t="s">
        <v>20</v>
      </c>
      <c r="J620" s="3">
        <v>100.49999999999901</v>
      </c>
      <c r="K620" s="3">
        <v>1</v>
      </c>
      <c r="L620" s="5">
        <v>7.6999999999999999E-2</v>
      </c>
      <c r="M620" s="3" t="s">
        <v>21</v>
      </c>
      <c r="N620" s="3">
        <v>611</v>
      </c>
      <c r="O620" s="6">
        <f>Table1[[#This Row],[Current coupon %]]*Table1[[#This Row],[Face value]]/Table1[[#This Row],[Ask Price]]</f>
        <v>7.6616915422885568E-2</v>
      </c>
      <c r="P620" s="3"/>
      <c r="Q620" s="3" t="s">
        <v>22</v>
      </c>
      <c r="R620">
        <f t="shared" si="9"/>
        <v>5</v>
      </c>
      <c r="S620" s="22" cm="1">
        <f t="array" ref="S620">_xlfn.IFS(Table1[[#This Row],[Coupon frequency]]="Semi-annual",2,Table1[[#This Row],[Coupon frequency]]="Quarterly",4,Table1[[#This Row],[Coupon frequency]]="Annual",1,Table1[[#This Row],[Coupon frequency]]="Every 4 months",3,Table1[[#This Row],[Coupon frequency]]="Monthly",12)</f>
        <v>1</v>
      </c>
      <c r="T620">
        <f>Table1[[#This Row],[Term to Maturity (Years)]]*Table1[[#This Row],[Coupon Frequency2]]</f>
        <v>5</v>
      </c>
      <c r="U620">
        <f>Table1[[#This Row],[Face value]]*Table1[[#This Row],[Current coupon %]]/Table1[[#This Row],[Coupon Frequency2]]</f>
        <v>77000</v>
      </c>
      <c r="V620" s="23">
        <f>RATE(Table1[[#This Row],[Total No. of Coupons]],Table1[[#This Row],[Coupon Amount]],-Table1[[#This Row],[Ask Price]],Table1[[#This Row],[Face value]])</f>
        <v>7.5761674877184132E-2</v>
      </c>
      <c r="W620" s="24">
        <f>Table1[[#This Row],[IRR]]*Table1[[#This Row],[Coupon Frequency2]]</f>
        <v>7.5761674877184132E-2</v>
      </c>
      <c r="X620" s="25" cm="1">
        <f t="array" ref="X6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0" s="26">
        <f>DURATION(Table1[[#This Row],[Issue date]],Table1[[#This Row],[Maturity date]],Table1[[#This Row],[Current coupon %]],Table1[[#This Row],[Yield (Annualised)]],Table1[[#This Row],[Coupon Frequency2]])</f>
        <v>4.3306504502001477</v>
      </c>
      <c r="Z620" s="26">
        <f>Table1[[#This Row],[Macaulay Duration in Years]]/(1+Table1[[#This Row],[IRR]])</f>
        <v>4.0256597268112966</v>
      </c>
      <c r="AA620" s="27">
        <f>VLOOKUP(Table1[[#This Row],[Yield Cluster]],'[1]Cluster Details'!$B$3:$C$16,2,0)</f>
        <v>7.8548801574189142E-2</v>
      </c>
      <c r="AB620" s="28">
        <f>PRICE(Table1[[#This Row],[Issue date]],Table1[[#This Row],[Maturity date]],Table1[[#This Row],[Current coupon %]],Table1[[#This Row],[Average Cluster Yield]],100,Table1[[#This Row],[Coupon Frequency2]])*Table1[[#This Row],[Face value]]/100</f>
        <v>993782.15316729189</v>
      </c>
      <c r="AC620" s="27" t="str">
        <f>IF(Table1[[#This Row],[Ask Price]]&gt;Table1[[#This Row],[Calculated Bond Price]],"Rich","Cheap")</f>
        <v>Rich</v>
      </c>
      <c r="AD620" s="28">
        <f>PRICE(Table1[[#This Row],[Issue date]],Table1[[#This Row],[Maturity date]],Table1[[#This Row],[Current coupon %]],Table1[[#This Row],[Yield (Annualised)]]+$AE$2,100,Table1[[#This Row],[Coupon Frequency2]])*Table1[[#This Row],[Face value]]/100</f>
        <v>965555.72867451061</v>
      </c>
      <c r="AE620" s="28">
        <f>PRICE(Table1[[#This Row],[Issue date]],Table1[[#This Row],[Maturity date]],Table1[[#This Row],[Current coupon %]],Table1[[#This Row],[Yield (Annualised)]]-$AE$2,100,Table1[[#This Row],[Coupon Frequency2]])*Table1[[#This Row],[Face value]]/100</f>
        <v>1046549.6395238116</v>
      </c>
      <c r="AF620" s="28">
        <f>(Table1[[#This Row],[P (+ shock)]]+Table1[[#This Row],[P (-shock)]]-2*Table1[[#This Row],[Ask Price]])/(2*Table1[[#This Row],[Ask Price]]*($AE$2^2))</f>
        <v>10.474468648368816</v>
      </c>
    </row>
    <row r="621" spans="1:32" x14ac:dyDescent="0.25">
      <c r="A621" s="21" t="s">
        <v>1286</v>
      </c>
      <c r="B621" s="3" t="s">
        <v>1287</v>
      </c>
      <c r="C621" s="3" t="s">
        <v>19</v>
      </c>
      <c r="D621" s="4">
        <v>41722</v>
      </c>
      <c r="E621" s="4">
        <v>47201</v>
      </c>
      <c r="F621" s="3">
        <v>1000</v>
      </c>
      <c r="G621" s="3" t="s">
        <v>20</v>
      </c>
      <c r="H621" s="3">
        <v>1160.48</v>
      </c>
      <c r="I621" s="3" t="s">
        <v>20</v>
      </c>
      <c r="J621" s="3">
        <v>116.048</v>
      </c>
      <c r="K621" s="3">
        <v>350</v>
      </c>
      <c r="L621" s="5">
        <v>8.8800000000000004E-2</v>
      </c>
      <c r="M621" s="3" t="s">
        <v>21</v>
      </c>
      <c r="N621" s="3">
        <v>1284</v>
      </c>
      <c r="O621" s="6">
        <f>Table1[[#This Row],[Current coupon %]]*Table1[[#This Row],[Face value]]/Table1[[#This Row],[Ask Price]]</f>
        <v>7.6520060664552594E-2</v>
      </c>
      <c r="P621" s="3"/>
      <c r="Q621" s="3" t="s">
        <v>22</v>
      </c>
      <c r="R621">
        <f t="shared" si="9"/>
        <v>15</v>
      </c>
      <c r="S621" s="22" cm="1">
        <f t="array" ref="S621">_xlfn.IFS(Table1[[#This Row],[Coupon frequency]]="Semi-annual",2,Table1[[#This Row],[Coupon frequency]]="Quarterly",4,Table1[[#This Row],[Coupon frequency]]="Annual",1,Table1[[#This Row],[Coupon frequency]]="Every 4 months",3,Table1[[#This Row],[Coupon frequency]]="Monthly",12)</f>
        <v>1</v>
      </c>
      <c r="T621">
        <f>Table1[[#This Row],[Term to Maturity (Years)]]*Table1[[#This Row],[Coupon Frequency2]]</f>
        <v>15</v>
      </c>
      <c r="U621">
        <f>Table1[[#This Row],[Face value]]*Table1[[#This Row],[Current coupon %]]/Table1[[#This Row],[Coupon Frequency2]]</f>
        <v>88.8</v>
      </c>
      <c r="V621" s="23">
        <f>RATE(Table1[[#This Row],[Total No. of Coupons]],Table1[[#This Row],[Coupon Amount]],-Table1[[#This Row],[Ask Price]],Table1[[#This Row],[Face value]])</f>
        <v>7.1061806905582448E-2</v>
      </c>
      <c r="W621" s="24">
        <f>Table1[[#This Row],[IRR]]*Table1[[#This Row],[Coupon Frequency2]]</f>
        <v>7.1061806905582448E-2</v>
      </c>
      <c r="X621" s="25" cm="1">
        <f t="array" ref="X6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1" s="26">
        <f>DURATION(Table1[[#This Row],[Issue date]],Table1[[#This Row],[Maturity date]],Table1[[#This Row],[Current coupon %]],Table1[[#This Row],[Yield (Annualised)]],Table1[[#This Row],[Coupon Frequency2]])</f>
        <v>9.2821942730248743</v>
      </c>
      <c r="Z621" s="26">
        <f>Table1[[#This Row],[Macaulay Duration in Years]]/(1+Table1[[#This Row],[IRR]])</f>
        <v>8.6663479298567978</v>
      </c>
      <c r="AA621" s="27">
        <f>VLOOKUP(Table1[[#This Row],[Yield Cluster]],'[1]Cluster Details'!$B$3:$C$16,2,0)</f>
        <v>7.8548801574189142E-2</v>
      </c>
      <c r="AB621" s="28">
        <f>PRICE(Table1[[#This Row],[Issue date]],Table1[[#This Row],[Maturity date]],Table1[[#This Row],[Current coupon %]],Table1[[#This Row],[Average Cluster Yield]],100,Table1[[#This Row],[Coupon Frequency2]])*Table1[[#This Row],[Face value]]/100</f>
        <v>1088.5278037432688</v>
      </c>
      <c r="AC621" s="27" t="str">
        <f>IF(Table1[[#This Row],[Ask Price]]&gt;Table1[[#This Row],[Calculated Bond Price]],"Rich","Cheap")</f>
        <v>Rich</v>
      </c>
      <c r="AD621" s="28">
        <f>PRICE(Table1[[#This Row],[Issue date]],Table1[[#This Row],[Maturity date]],Table1[[#This Row],[Current coupon %]],Table1[[#This Row],[Yield (Annualised)]]+$AE$2,100,Table1[[#This Row],[Coupon Frequency2]])*Table1[[#This Row],[Face value]]/100</f>
        <v>1065.8076270370066</v>
      </c>
      <c r="AE621" s="28">
        <f>PRICE(Table1[[#This Row],[Issue date]],Table1[[#This Row],[Maturity date]],Table1[[#This Row],[Current coupon %]],Table1[[#This Row],[Yield (Annualised)]]-$AE$2,100,Table1[[#This Row],[Coupon Frequency2]])*Table1[[#This Row],[Face value]]/100</f>
        <v>1267.541004076061</v>
      </c>
      <c r="AF621" s="28">
        <f>(Table1[[#This Row],[P (+ shock)]]+Table1[[#This Row],[P (-shock)]]-2*Table1[[#This Row],[Ask Price]])/(2*Table1[[#This Row],[Ask Price]]*($AE$2^2))</f>
        <v>53.377184928078364</v>
      </c>
    </row>
    <row r="622" spans="1:32" x14ac:dyDescent="0.25">
      <c r="A622" s="21" t="s">
        <v>1288</v>
      </c>
      <c r="B622" s="3" t="s">
        <v>1289</v>
      </c>
      <c r="C622" s="3" t="s">
        <v>19</v>
      </c>
      <c r="D622" s="4">
        <v>41661</v>
      </c>
      <c r="E622" s="4">
        <v>47140</v>
      </c>
      <c r="F622" s="3">
        <v>1000</v>
      </c>
      <c r="G622" s="3" t="s">
        <v>20</v>
      </c>
      <c r="H622" s="3">
        <v>1141.55</v>
      </c>
      <c r="I622" s="3" t="s">
        <v>20</v>
      </c>
      <c r="J622" s="3">
        <v>114.155</v>
      </c>
      <c r="K622" s="3">
        <v>275</v>
      </c>
      <c r="L622" s="5">
        <v>8.7300000000000003E-2</v>
      </c>
      <c r="M622" s="3" t="s">
        <v>21</v>
      </c>
      <c r="N622" s="3">
        <v>1223</v>
      </c>
      <c r="O622" s="6">
        <f>Table1[[#This Row],[Current coupon %]]*Table1[[#This Row],[Face value]]/Table1[[#This Row],[Ask Price]]</f>
        <v>7.6474968244930136E-2</v>
      </c>
      <c r="P622" s="3" t="s">
        <v>54</v>
      </c>
      <c r="Q622" s="3" t="s">
        <v>22</v>
      </c>
      <c r="R622">
        <f t="shared" si="9"/>
        <v>15</v>
      </c>
      <c r="S622" s="22" cm="1">
        <f t="array" ref="S622">_xlfn.IFS(Table1[[#This Row],[Coupon frequency]]="Semi-annual",2,Table1[[#This Row],[Coupon frequency]]="Quarterly",4,Table1[[#This Row],[Coupon frequency]]="Annual",1,Table1[[#This Row],[Coupon frequency]]="Every 4 months",3,Table1[[#This Row],[Coupon frequency]]="Monthly",12)</f>
        <v>1</v>
      </c>
      <c r="T622">
        <f>Table1[[#This Row],[Term to Maturity (Years)]]*Table1[[#This Row],[Coupon Frequency2]]</f>
        <v>15</v>
      </c>
      <c r="U622">
        <f>Table1[[#This Row],[Face value]]*Table1[[#This Row],[Current coupon %]]/Table1[[#This Row],[Coupon Frequency2]]</f>
        <v>87.3</v>
      </c>
      <c r="V622" s="23">
        <f>RATE(Table1[[#This Row],[Total No. of Coupons]],Table1[[#This Row],[Coupon Amount]],-Table1[[#This Row],[Ask Price]],Table1[[#This Row],[Face value]])</f>
        <v>7.1601041498276535E-2</v>
      </c>
      <c r="W622" s="24">
        <f>Table1[[#This Row],[IRR]]*Table1[[#This Row],[Coupon Frequency2]]</f>
        <v>7.1601041498276535E-2</v>
      </c>
      <c r="X622" s="25" cm="1">
        <f t="array" ref="X6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2" s="26">
        <f>DURATION(Table1[[#This Row],[Issue date]],Table1[[#This Row],[Maturity date]],Table1[[#This Row],[Current coupon %]],Table1[[#This Row],[Yield (Annualised)]],Table1[[#This Row],[Coupon Frequency2]])</f>
        <v>9.2987608783726188</v>
      </c>
      <c r="Z622" s="26">
        <f>Table1[[#This Row],[Macaulay Duration in Years]]/(1+Table1[[#This Row],[IRR]])</f>
        <v>8.6774466599728228</v>
      </c>
      <c r="AA622" s="27">
        <f>VLOOKUP(Table1[[#This Row],[Yield Cluster]],'[1]Cluster Details'!$B$3:$C$16,2,0)</f>
        <v>7.8548801574189142E-2</v>
      </c>
      <c r="AB622" s="28">
        <f>PRICE(Table1[[#This Row],[Issue date]],Table1[[#This Row],[Maturity date]],Table1[[#This Row],[Current coupon %]],Table1[[#This Row],[Average Cluster Yield]],100,Table1[[#This Row],[Coupon Frequency2]])*Table1[[#This Row],[Face value]]/100</f>
        <v>1075.5740299405343</v>
      </c>
      <c r="AC622" s="27" t="str">
        <f>IF(Table1[[#This Row],[Ask Price]]&gt;Table1[[#This Row],[Calculated Bond Price]],"Rich","Cheap")</f>
        <v>Rich</v>
      </c>
      <c r="AD622" s="28">
        <f>PRICE(Table1[[#This Row],[Issue date]],Table1[[#This Row],[Maturity date]],Table1[[#This Row],[Current coupon %]],Table1[[#This Row],[Yield (Annualised)]]+$AE$2,100,Table1[[#This Row],[Coupon Frequency2]])*Table1[[#This Row],[Face value]]/100</f>
        <v>1048.3068416075864</v>
      </c>
      <c r="AE622" s="28">
        <f>PRICE(Table1[[#This Row],[Issue date]],Table1[[#This Row],[Maturity date]],Table1[[#This Row],[Current coupon %]],Table1[[#This Row],[Yield (Annualised)]]-$AE$2,100,Table1[[#This Row],[Coupon Frequency2]])*Table1[[#This Row],[Face value]]/100</f>
        <v>1247.0042583956813</v>
      </c>
      <c r="AF622" s="28">
        <f>(Table1[[#This Row],[P (+ shock)]]+Table1[[#This Row],[P (-shock)]]-2*Table1[[#This Row],[Ask Price]])/(2*Table1[[#This Row],[Ask Price]]*($AE$2^2))</f>
        <v>53.484735680731468</v>
      </c>
    </row>
    <row r="623" spans="1:32" x14ac:dyDescent="0.25">
      <c r="A623" s="21" t="s">
        <v>1290</v>
      </c>
      <c r="B623" s="3" t="s">
        <v>1291</v>
      </c>
      <c r="C623" s="3" t="s">
        <v>19</v>
      </c>
      <c r="D623" s="4">
        <v>42647</v>
      </c>
      <c r="E623" s="4">
        <v>46296</v>
      </c>
      <c r="F623" s="3">
        <v>1000000</v>
      </c>
      <c r="G623" s="3" t="s">
        <v>20</v>
      </c>
      <c r="H623" s="3">
        <v>1066088</v>
      </c>
      <c r="I623" s="3" t="s">
        <v>20</v>
      </c>
      <c r="J623" s="3">
        <v>106.60879999999899</v>
      </c>
      <c r="K623" s="3">
        <v>2</v>
      </c>
      <c r="L623" s="5">
        <v>8.1500000000000003E-2</v>
      </c>
      <c r="M623" s="3" t="s">
        <v>21</v>
      </c>
      <c r="N623" s="3">
        <v>379</v>
      </c>
      <c r="O623" s="6">
        <f>Table1[[#This Row],[Current coupon %]]*Table1[[#This Row],[Face value]]/Table1[[#This Row],[Ask Price]]</f>
        <v>7.6447722889667641E-2</v>
      </c>
      <c r="P623" s="3" t="s">
        <v>297</v>
      </c>
      <c r="Q623" s="3" t="s">
        <v>22</v>
      </c>
      <c r="R623">
        <f t="shared" si="9"/>
        <v>10</v>
      </c>
      <c r="S623" s="22" cm="1">
        <f t="array" ref="S623">_xlfn.IFS(Table1[[#This Row],[Coupon frequency]]="Semi-annual",2,Table1[[#This Row],[Coupon frequency]]="Quarterly",4,Table1[[#This Row],[Coupon frequency]]="Annual",1,Table1[[#This Row],[Coupon frequency]]="Every 4 months",3,Table1[[#This Row],[Coupon frequency]]="Monthly",12)</f>
        <v>1</v>
      </c>
      <c r="T623">
        <f>Table1[[#This Row],[Term to Maturity (Years)]]*Table1[[#This Row],[Coupon Frequency2]]</f>
        <v>10</v>
      </c>
      <c r="U623">
        <f>Table1[[#This Row],[Face value]]*Table1[[#This Row],[Current coupon %]]/Table1[[#This Row],[Coupon Frequency2]]</f>
        <v>81500</v>
      </c>
      <c r="V623" s="23">
        <f>RATE(Table1[[#This Row],[Total No. of Coupons]],Table1[[#This Row],[Coupon Amount]],-Table1[[#This Row],[Ask Price]],Table1[[#This Row],[Face value]])</f>
        <v>7.2003236043913982E-2</v>
      </c>
      <c r="W623" s="24">
        <f>Table1[[#This Row],[IRR]]*Table1[[#This Row],[Coupon Frequency2]]</f>
        <v>7.2003236043913982E-2</v>
      </c>
      <c r="X623" s="25" cm="1">
        <f t="array" ref="X6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3" s="26">
        <f>DURATION(Table1[[#This Row],[Issue date]],Table1[[#This Row],[Maturity date]],Table1[[#This Row],[Current coupon %]],Table1[[#This Row],[Yield (Annualised)]],Table1[[#This Row],[Coupon Frequency2]])</f>
        <v>7.2949593191960158</v>
      </c>
      <c r="Z623" s="26">
        <f>Table1[[#This Row],[Macaulay Duration in Years]]/(1+Table1[[#This Row],[IRR]])</f>
        <v>6.8049788227478656</v>
      </c>
      <c r="AA623" s="27">
        <f>VLOOKUP(Table1[[#This Row],[Yield Cluster]],'[1]Cluster Details'!$B$3:$C$16,2,0)</f>
        <v>7.8548801574189142E-2</v>
      </c>
      <c r="AB623" s="28">
        <f>PRICE(Table1[[#This Row],[Issue date]],Table1[[#This Row],[Maturity date]],Table1[[#This Row],[Current coupon %]],Table1[[#This Row],[Average Cluster Yield]],100,Table1[[#This Row],[Coupon Frequency2]])*Table1[[#This Row],[Face value]]/100</f>
        <v>1019896.7932969966</v>
      </c>
      <c r="AC623" s="27" t="str">
        <f>IF(Table1[[#This Row],[Ask Price]]&gt;Table1[[#This Row],[Calculated Bond Price]],"Rich","Cheap")</f>
        <v>Rich</v>
      </c>
      <c r="AD623" s="28">
        <f>PRICE(Table1[[#This Row],[Issue date]],Table1[[#This Row],[Maturity date]],Table1[[#This Row],[Current coupon %]],Table1[[#This Row],[Yield (Annualised)]]+$AE$2,100,Table1[[#This Row],[Coupon Frequency2]])*Table1[[#This Row],[Face value]]/100</f>
        <v>996629.17978149443</v>
      </c>
      <c r="AE623" s="28">
        <f>PRICE(Table1[[#This Row],[Issue date]],Table1[[#This Row],[Maturity date]],Table1[[#This Row],[Current coupon %]],Table1[[#This Row],[Yield (Annualised)]]-$AE$2,100,Table1[[#This Row],[Coupon Frequency2]])*Table1[[#This Row],[Face value]]/100</f>
        <v>1142039.2813258988</v>
      </c>
      <c r="AF623" s="28">
        <f>(Table1[[#This Row],[P (+ shock)]]+Table1[[#This Row],[P (-shock)]]-2*Table1[[#This Row],[Ask Price]])/(2*Table1[[#This Row],[Ask Price]]*($AE$2^2))</f>
        <v>30.449930528217468</v>
      </c>
    </row>
    <row r="624" spans="1:32" x14ac:dyDescent="0.25">
      <c r="A624" s="21" t="s">
        <v>1292</v>
      </c>
      <c r="B624" s="3" t="s">
        <v>1293</v>
      </c>
      <c r="C624" s="3" t="s">
        <v>19</v>
      </c>
      <c r="D624" s="4">
        <v>41724</v>
      </c>
      <c r="E624" s="4">
        <v>47203</v>
      </c>
      <c r="F624" s="3">
        <v>1000</v>
      </c>
      <c r="G624" s="3" t="s">
        <v>20</v>
      </c>
      <c r="H624" s="3">
        <v>1130</v>
      </c>
      <c r="I624" s="3" t="s">
        <v>20</v>
      </c>
      <c r="J624" s="3">
        <v>112.99999999999901</v>
      </c>
      <c r="K624" s="3">
        <v>570</v>
      </c>
      <c r="L624" s="5">
        <v>8.6300000000000002E-2</v>
      </c>
      <c r="M624" s="3" t="s">
        <v>21</v>
      </c>
      <c r="N624" s="3">
        <v>1286</v>
      </c>
      <c r="O624" s="6">
        <f>Table1[[#This Row],[Current coupon %]]*Table1[[#This Row],[Face value]]/Table1[[#This Row],[Ask Price]]</f>
        <v>7.6371681415929205E-2</v>
      </c>
      <c r="P624" s="3" t="s">
        <v>297</v>
      </c>
      <c r="Q624" s="3" t="s">
        <v>22</v>
      </c>
      <c r="R624">
        <f t="shared" si="9"/>
        <v>15</v>
      </c>
      <c r="S624" s="22" cm="1">
        <f t="array" ref="S624">_xlfn.IFS(Table1[[#This Row],[Coupon frequency]]="Semi-annual",2,Table1[[#This Row],[Coupon frequency]]="Quarterly",4,Table1[[#This Row],[Coupon frequency]]="Annual",1,Table1[[#This Row],[Coupon frequency]]="Every 4 months",3,Table1[[#This Row],[Coupon frequency]]="Monthly",12)</f>
        <v>1</v>
      </c>
      <c r="T624">
        <f>Table1[[#This Row],[Term to Maturity (Years)]]*Table1[[#This Row],[Coupon Frequency2]]</f>
        <v>15</v>
      </c>
      <c r="U624">
        <f>Table1[[#This Row],[Face value]]*Table1[[#This Row],[Current coupon %]]/Table1[[#This Row],[Coupon Frequency2]]</f>
        <v>86.3</v>
      </c>
      <c r="V624" s="23">
        <f>RATE(Table1[[#This Row],[Total No. of Coupons]],Table1[[#This Row],[Coupon Amount]],-Table1[[#This Row],[Ask Price]],Table1[[#This Row],[Face value]])</f>
        <v>7.1858679344296197E-2</v>
      </c>
      <c r="W624" s="24">
        <f>Table1[[#This Row],[IRR]]*Table1[[#This Row],[Coupon Frequency2]]</f>
        <v>7.1858679344296197E-2</v>
      </c>
      <c r="X624" s="25" cm="1">
        <f t="array" ref="X6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4" s="26">
        <f>DURATION(Table1[[#This Row],[Issue date]],Table1[[#This Row],[Maturity date]],Table1[[#This Row],[Current coupon %]],Table1[[#This Row],[Yield (Annualised)]],Table1[[#This Row],[Coupon Frequency2]])</f>
        <v>9.3127397293557017</v>
      </c>
      <c r="Z624" s="26">
        <f>Table1[[#This Row],[Macaulay Duration in Years]]/(1+Table1[[#This Row],[IRR]])</f>
        <v>8.6884025933835982</v>
      </c>
      <c r="AA624" s="27">
        <f>VLOOKUP(Table1[[#This Row],[Yield Cluster]],'[1]Cluster Details'!$B$3:$C$16,2,0)</f>
        <v>7.8548801574189142E-2</v>
      </c>
      <c r="AB624" s="28">
        <f>PRICE(Table1[[#This Row],[Issue date]],Table1[[#This Row],[Maturity date]],Table1[[#This Row],[Current coupon %]],Table1[[#This Row],[Average Cluster Yield]],100,Table1[[#This Row],[Coupon Frequency2]])*Table1[[#This Row],[Face value]]/100</f>
        <v>1066.9381807387115</v>
      </c>
      <c r="AC624" s="27" t="str">
        <f>IF(Table1[[#This Row],[Ask Price]]&gt;Table1[[#This Row],[Calculated Bond Price]],"Rich","Cheap")</f>
        <v>Rich</v>
      </c>
      <c r="AD624" s="28">
        <f>PRICE(Table1[[#This Row],[Issue date]],Table1[[#This Row],[Maturity date]],Table1[[#This Row],[Current coupon %]],Table1[[#This Row],[Yield (Annualised)]]+$AE$2,100,Table1[[#This Row],[Coupon Frequency2]])*Table1[[#This Row],[Face value]]/100</f>
        <v>1037.5877265185104</v>
      </c>
      <c r="AE624" s="28">
        <f>PRICE(Table1[[#This Row],[Issue date]],Table1[[#This Row],[Maturity date]],Table1[[#This Row],[Current coupon %]],Table1[[#This Row],[Yield (Annualised)]]-$AE$2,100,Table1[[#This Row],[Coupon Frequency2]])*Table1[[#This Row],[Face value]]/100</f>
        <v>1234.5237206037236</v>
      </c>
      <c r="AF624" s="28">
        <f>(Table1[[#This Row],[P (+ shock)]]+Table1[[#This Row],[P (-shock)]]-2*Table1[[#This Row],[Ask Price]])/(2*Table1[[#This Row],[Ask Price]]*($AE$2^2))</f>
        <v>53.590473992186013</v>
      </c>
    </row>
    <row r="625" spans="1:32" x14ac:dyDescent="0.25">
      <c r="A625" s="21" t="s">
        <v>1294</v>
      </c>
      <c r="B625" s="3" t="s">
        <v>1295</v>
      </c>
      <c r="C625" s="3" t="s">
        <v>19</v>
      </c>
      <c r="D625" s="4">
        <v>44476</v>
      </c>
      <c r="E625" s="4">
        <v>46302</v>
      </c>
      <c r="F625" s="3">
        <v>1000</v>
      </c>
      <c r="G625" s="3" t="s">
        <v>20</v>
      </c>
      <c r="H625" s="3">
        <v>1075</v>
      </c>
      <c r="I625" s="3" t="s">
        <v>20</v>
      </c>
      <c r="J625" s="3">
        <v>107.5</v>
      </c>
      <c r="K625" s="3">
        <v>800</v>
      </c>
      <c r="L625" s="5">
        <v>8.199999999999999E-2</v>
      </c>
      <c r="M625" s="3" t="s">
        <v>21</v>
      </c>
      <c r="N625" s="3">
        <v>385</v>
      </c>
      <c r="O625" s="6">
        <f>Table1[[#This Row],[Current coupon %]]*Table1[[#This Row],[Face value]]/Table1[[#This Row],[Ask Price]]</f>
        <v>7.6279069767441851E-2</v>
      </c>
      <c r="P625" s="3"/>
      <c r="Q625" s="3" t="s">
        <v>22</v>
      </c>
      <c r="R625">
        <f t="shared" si="9"/>
        <v>5</v>
      </c>
      <c r="S625" s="22" cm="1">
        <f t="array" ref="S625">_xlfn.IFS(Table1[[#This Row],[Coupon frequency]]="Semi-annual",2,Table1[[#This Row],[Coupon frequency]]="Quarterly",4,Table1[[#This Row],[Coupon frequency]]="Annual",1,Table1[[#This Row],[Coupon frequency]]="Every 4 months",3,Table1[[#This Row],[Coupon frequency]]="Monthly",12)</f>
        <v>1</v>
      </c>
      <c r="T625">
        <f>Table1[[#This Row],[Term to Maturity (Years)]]*Table1[[#This Row],[Coupon Frequency2]]</f>
        <v>5</v>
      </c>
      <c r="U625">
        <f>Table1[[#This Row],[Face value]]*Table1[[#This Row],[Current coupon %]]/Table1[[#This Row],[Coupon Frequency2]]</f>
        <v>81.999999999999986</v>
      </c>
      <c r="V625" s="23">
        <f>RATE(Table1[[#This Row],[Total No. of Coupons]],Table1[[#This Row],[Coupon Amount]],-Table1[[#This Row],[Ask Price]],Table1[[#This Row],[Face value]])</f>
        <v>6.4001039641282065E-2</v>
      </c>
      <c r="W625" s="24">
        <f>Table1[[#This Row],[IRR]]*Table1[[#This Row],[Coupon Frequency2]]</f>
        <v>6.4001039641282065E-2</v>
      </c>
      <c r="X625" s="25" cm="1">
        <f t="array" ref="X6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5" s="26">
        <f>DURATION(Table1[[#This Row],[Issue date]],Table1[[#This Row],[Maturity date]],Table1[[#This Row],[Current coupon %]],Table1[[#This Row],[Yield (Annualised)]],Table1[[#This Row],[Coupon Frequency2]])</f>
        <v>4.3249337375661456</v>
      </c>
      <c r="Z625" s="26">
        <f>Table1[[#This Row],[Macaulay Duration in Years]]/(1+Table1[[#This Row],[IRR]])</f>
        <v>4.0647833756104754</v>
      </c>
      <c r="AA625" s="27">
        <f>VLOOKUP(Table1[[#This Row],[Yield Cluster]],'[1]Cluster Details'!$B$3:$C$16,2,0)</f>
        <v>7.8548801574189142E-2</v>
      </c>
      <c r="AB625" s="28">
        <f>PRICE(Table1[[#This Row],[Issue date]],Table1[[#This Row],[Maturity date]],Table1[[#This Row],[Current coupon %]],Table1[[#This Row],[Average Cluster Yield]],100,Table1[[#This Row],[Coupon Frequency2]])*Table1[[#This Row],[Face value]]/100</f>
        <v>1013.8325004001416</v>
      </c>
      <c r="AC625" s="27" t="str">
        <f>IF(Table1[[#This Row],[Ask Price]]&gt;Table1[[#This Row],[Calculated Bond Price]],"Rich","Cheap")</f>
        <v>Rich</v>
      </c>
      <c r="AD625" s="28">
        <f>PRICE(Table1[[#This Row],[Issue date]],Table1[[#This Row],[Maturity date]],Table1[[#This Row],[Current coupon %]],Table1[[#This Row],[Yield (Annualised)]]+$AE$2,100,Table1[[#This Row],[Coupon Frequency2]])*Table1[[#This Row],[Face value]]/100</f>
        <v>1032.4489359189668</v>
      </c>
      <c r="AE625" s="28">
        <f>PRICE(Table1[[#This Row],[Issue date]],Table1[[#This Row],[Maturity date]],Table1[[#This Row],[Current coupon %]],Table1[[#This Row],[Yield (Annualised)]]-$AE$2,100,Table1[[#This Row],[Coupon Frequency2]])*Table1[[#This Row],[Face value]]/100</f>
        <v>1119.8917672279611</v>
      </c>
      <c r="AF625" s="28">
        <f>(Table1[[#This Row],[P (+ shock)]]+Table1[[#This Row],[P (-shock)]]-2*Table1[[#This Row],[Ask Price]])/(2*Table1[[#This Row],[Ask Price]]*($AE$2^2))</f>
        <v>10.886991381059573</v>
      </c>
    </row>
    <row r="626" spans="1:32" x14ac:dyDescent="0.25">
      <c r="A626" s="21" t="s">
        <v>1296</v>
      </c>
      <c r="B626" s="3" t="s">
        <v>1297</v>
      </c>
      <c r="C626" s="3" t="s">
        <v>19</v>
      </c>
      <c r="D626" s="4">
        <v>41624</v>
      </c>
      <c r="E626" s="4">
        <v>47103</v>
      </c>
      <c r="F626" s="3">
        <v>1000</v>
      </c>
      <c r="G626" s="3" t="s">
        <v>20</v>
      </c>
      <c r="H626" s="3">
        <v>1145.05</v>
      </c>
      <c r="I626" s="3" t="s">
        <v>20</v>
      </c>
      <c r="J626" s="3">
        <v>114.505</v>
      </c>
      <c r="K626" s="3">
        <v>525</v>
      </c>
      <c r="L626" s="5">
        <v>8.7300000000000003E-2</v>
      </c>
      <c r="M626" s="3" t="s">
        <v>21</v>
      </c>
      <c r="N626" s="3">
        <v>1186</v>
      </c>
      <c r="O626" s="6">
        <f>Table1[[#This Row],[Current coupon %]]*Table1[[#This Row],[Face value]]/Table1[[#This Row],[Ask Price]]</f>
        <v>7.6241212174140871E-2</v>
      </c>
      <c r="P626" s="3" t="s">
        <v>297</v>
      </c>
      <c r="Q626" s="3" t="s">
        <v>22</v>
      </c>
      <c r="R626">
        <f t="shared" si="9"/>
        <v>15</v>
      </c>
      <c r="S626" s="22" cm="1">
        <f t="array" ref="S626">_xlfn.IFS(Table1[[#This Row],[Coupon frequency]]="Semi-annual",2,Table1[[#This Row],[Coupon frequency]]="Quarterly",4,Table1[[#This Row],[Coupon frequency]]="Annual",1,Table1[[#This Row],[Coupon frequency]]="Every 4 months",3,Table1[[#This Row],[Coupon frequency]]="Monthly",12)</f>
        <v>1</v>
      </c>
      <c r="T626">
        <f>Table1[[#This Row],[Term to Maturity (Years)]]*Table1[[#This Row],[Coupon Frequency2]]</f>
        <v>15</v>
      </c>
      <c r="U626">
        <f>Table1[[#This Row],[Face value]]*Table1[[#This Row],[Current coupon %]]/Table1[[#This Row],[Coupon Frequency2]]</f>
        <v>87.3</v>
      </c>
      <c r="V626" s="23">
        <f>RATE(Table1[[#This Row],[Total No. of Coupons]],Table1[[#This Row],[Coupon Amount]],-Table1[[#This Row],[Ask Price]],Table1[[#This Row],[Face value]])</f>
        <v>7.1248476977404551E-2</v>
      </c>
      <c r="W626" s="24">
        <f>Table1[[#This Row],[IRR]]*Table1[[#This Row],[Coupon Frequency2]]</f>
        <v>7.1248476977404551E-2</v>
      </c>
      <c r="X626" s="25" cm="1">
        <f t="array" ref="X6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6" s="26">
        <f>DURATION(Table1[[#This Row],[Issue date]],Table1[[#This Row],[Maturity date]],Table1[[#This Row],[Current coupon %]],Table1[[#This Row],[Yield (Annualised)]],Table1[[#This Row],[Coupon Frequency2]])</f>
        <v>9.3075910418977958</v>
      </c>
      <c r="Z626" s="26">
        <f>Table1[[#This Row],[Macaulay Duration in Years]]/(1+Table1[[#This Row],[IRR]])</f>
        <v>8.6885454140011991</v>
      </c>
      <c r="AA626" s="27">
        <f>VLOOKUP(Table1[[#This Row],[Yield Cluster]],'[1]Cluster Details'!$B$3:$C$16,2,0)</f>
        <v>7.8548801574189142E-2</v>
      </c>
      <c r="AB626" s="28">
        <f>PRICE(Table1[[#This Row],[Issue date]],Table1[[#This Row],[Maturity date]],Table1[[#This Row],[Current coupon %]],Table1[[#This Row],[Average Cluster Yield]],100,Table1[[#This Row],[Coupon Frequency2]])*Table1[[#This Row],[Face value]]/100</f>
        <v>1075.5740299405343</v>
      </c>
      <c r="AC626" s="27" t="str">
        <f>IF(Table1[[#This Row],[Ask Price]]&gt;Table1[[#This Row],[Calculated Bond Price]],"Rich","Cheap")</f>
        <v>Rich</v>
      </c>
      <c r="AD626" s="28">
        <f>PRICE(Table1[[#This Row],[Issue date]],Table1[[#This Row],[Maturity date]],Table1[[#This Row],[Current coupon %]],Table1[[#This Row],[Yield (Annualised)]]+$AE$2,100,Table1[[#This Row],[Coupon Frequency2]])*Table1[[#This Row],[Face value]]/100</f>
        <v>1051.405344768518</v>
      </c>
      <c r="AE626" s="28">
        <f>PRICE(Table1[[#This Row],[Issue date]],Table1[[#This Row],[Maturity date]],Table1[[#This Row],[Current coupon %]],Table1[[#This Row],[Yield (Annualised)]]-$AE$2,100,Table1[[#This Row],[Coupon Frequency2]])*Table1[[#This Row],[Face value]]/100</f>
        <v>1250.9676069397187</v>
      </c>
      <c r="AF626" s="28">
        <f>(Table1[[#This Row],[P (+ shock)]]+Table1[[#This Row],[P (-shock)]]-2*Table1[[#This Row],[Ask Price]])/(2*Table1[[#This Row],[Ask Price]]*($AE$2^2))</f>
        <v>53.591335348834697</v>
      </c>
    </row>
    <row r="627" spans="1:32" x14ac:dyDescent="0.25">
      <c r="A627" s="21" t="s">
        <v>1298</v>
      </c>
      <c r="B627" s="3" t="s">
        <v>1299</v>
      </c>
      <c r="C627" s="3" t="s">
        <v>19</v>
      </c>
      <c r="D627" s="4">
        <v>41688</v>
      </c>
      <c r="E627" s="4">
        <v>47167</v>
      </c>
      <c r="F627" s="3">
        <v>1000</v>
      </c>
      <c r="G627" s="3" t="s">
        <v>20</v>
      </c>
      <c r="H627" s="3">
        <v>1135</v>
      </c>
      <c r="I627" s="3" t="s">
        <v>20</v>
      </c>
      <c r="J627" s="3">
        <v>113.5</v>
      </c>
      <c r="K627" s="3">
        <v>100</v>
      </c>
      <c r="L627" s="5">
        <v>8.6500000000000007E-2</v>
      </c>
      <c r="M627" s="3" t="s">
        <v>21</v>
      </c>
      <c r="N627" s="3">
        <v>1250</v>
      </c>
      <c r="O627" s="6">
        <f>Table1[[#This Row],[Current coupon %]]*Table1[[#This Row],[Face value]]/Table1[[#This Row],[Ask Price]]</f>
        <v>7.621145374449341E-2</v>
      </c>
      <c r="P627" s="3" t="s">
        <v>297</v>
      </c>
      <c r="Q627" s="3" t="s">
        <v>22</v>
      </c>
      <c r="R627">
        <f t="shared" si="9"/>
        <v>15</v>
      </c>
      <c r="S627" s="22" cm="1">
        <f t="array" ref="S627">_xlfn.IFS(Table1[[#This Row],[Coupon frequency]]="Semi-annual",2,Table1[[#This Row],[Coupon frequency]]="Quarterly",4,Table1[[#This Row],[Coupon frequency]]="Annual",1,Table1[[#This Row],[Coupon frequency]]="Every 4 months",3,Table1[[#This Row],[Coupon frequency]]="Monthly",12)</f>
        <v>1</v>
      </c>
      <c r="T627">
        <f>Table1[[#This Row],[Term to Maturity (Years)]]*Table1[[#This Row],[Coupon Frequency2]]</f>
        <v>15</v>
      </c>
      <c r="U627">
        <f>Table1[[#This Row],[Face value]]*Table1[[#This Row],[Current coupon %]]/Table1[[#This Row],[Coupon Frequency2]]</f>
        <v>86.500000000000014</v>
      </c>
      <c r="V627" s="23">
        <f>RATE(Table1[[#This Row],[Total No. of Coupons]],Table1[[#This Row],[Coupon Amount]],-Table1[[#This Row],[Ask Price]],Table1[[#This Row],[Face value]])</f>
        <v>7.1533808823839737E-2</v>
      </c>
      <c r="W627" s="24">
        <f>Table1[[#This Row],[IRR]]*Table1[[#This Row],[Coupon Frequency2]]</f>
        <v>7.1533808823839737E-2</v>
      </c>
      <c r="X627" s="25" cm="1">
        <f t="array" ref="X6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7" s="26">
        <f>DURATION(Table1[[#This Row],[Issue date]],Table1[[#This Row],[Maturity date]],Table1[[#This Row],[Current coupon %]],Table1[[#This Row],[Yield (Annualised)]],Table1[[#This Row],[Coupon Frequency2]])</f>
        <v>9.3167690092342177</v>
      </c>
      <c r="Z627" s="26">
        <f>Table1[[#This Row],[Macaulay Duration in Years]]/(1+Table1[[#This Row],[IRR]])</f>
        <v>8.69479705867675</v>
      </c>
      <c r="AA627" s="27">
        <f>VLOOKUP(Table1[[#This Row],[Yield Cluster]],'[1]Cluster Details'!$B$3:$C$16,2,0)</f>
        <v>7.8548801574189142E-2</v>
      </c>
      <c r="AB627" s="28">
        <f>PRICE(Table1[[#This Row],[Issue date]],Table1[[#This Row],[Maturity date]],Table1[[#This Row],[Current coupon %]],Table1[[#This Row],[Average Cluster Yield]],100,Table1[[#This Row],[Coupon Frequency2]])*Table1[[#This Row],[Face value]]/100</f>
        <v>1068.6653505790762</v>
      </c>
      <c r="AC627" s="27" t="str">
        <f>IF(Table1[[#This Row],[Ask Price]]&gt;Table1[[#This Row],[Calculated Bond Price]],"Rich","Cheap")</f>
        <v>Rich</v>
      </c>
      <c r="AD627" s="28">
        <f>PRICE(Table1[[#This Row],[Issue date]],Table1[[#This Row],[Maturity date]],Table1[[#This Row],[Current coupon %]],Table1[[#This Row],[Yield (Annualised)]]+$AE$2,100,Table1[[#This Row],[Coupon Frequency2]])*Table1[[#This Row],[Face value]]/100</f>
        <v>1042.1127816018623</v>
      </c>
      <c r="AE627" s="28">
        <f>PRICE(Table1[[#This Row],[Issue date]],Table1[[#This Row],[Maturity date]],Table1[[#This Row],[Current coupon %]],Table1[[#This Row],[Yield (Annualised)]]-$AE$2,100,Table1[[#This Row],[Coupon Frequency2]])*Table1[[#This Row],[Face value]]/100</f>
        <v>1240.0661794720206</v>
      </c>
      <c r="AF627" s="28">
        <f>(Table1[[#This Row],[P (+ shock)]]+Table1[[#This Row],[P (-shock)]]-2*Table1[[#This Row],[Ask Price]])/(2*Table1[[#This Row],[Ask Price]]*($AE$2^2))</f>
        <v>53.651810898162438</v>
      </c>
    </row>
    <row r="628" spans="1:32" x14ac:dyDescent="0.25">
      <c r="A628" s="21" t="s">
        <v>1300</v>
      </c>
      <c r="B628" s="3" t="s">
        <v>1301</v>
      </c>
      <c r="C628" s="3" t="s">
        <v>19</v>
      </c>
      <c r="D628" s="4">
        <v>45208</v>
      </c>
      <c r="E628" s="4">
        <v>46304</v>
      </c>
      <c r="F628" s="3">
        <v>1000</v>
      </c>
      <c r="G628" s="3" t="s">
        <v>20</v>
      </c>
      <c r="H628" s="3">
        <v>1050</v>
      </c>
      <c r="I628" s="3" t="s">
        <v>20</v>
      </c>
      <c r="J628" s="3">
        <v>105</v>
      </c>
      <c r="K628" s="3">
        <v>1</v>
      </c>
      <c r="L628" s="5">
        <v>0.08</v>
      </c>
      <c r="M628" s="3" t="s">
        <v>21</v>
      </c>
      <c r="N628" s="3">
        <v>387</v>
      </c>
      <c r="O628" s="6">
        <f>Table1[[#This Row],[Current coupon %]]*Table1[[#This Row],[Face value]]/Table1[[#This Row],[Ask Price]]</f>
        <v>7.6190476190476197E-2</v>
      </c>
      <c r="P628" s="3"/>
      <c r="Q628" s="3" t="s">
        <v>22</v>
      </c>
      <c r="R628">
        <f t="shared" si="9"/>
        <v>3</v>
      </c>
      <c r="S628" s="22" cm="1">
        <f t="array" ref="S628">_xlfn.IFS(Table1[[#This Row],[Coupon frequency]]="Semi-annual",2,Table1[[#This Row],[Coupon frequency]]="Quarterly",4,Table1[[#This Row],[Coupon frequency]]="Annual",1,Table1[[#This Row],[Coupon frequency]]="Every 4 months",3,Table1[[#This Row],[Coupon frequency]]="Monthly",12)</f>
        <v>1</v>
      </c>
      <c r="T628">
        <f>Table1[[#This Row],[Term to Maturity (Years)]]*Table1[[#This Row],[Coupon Frequency2]]</f>
        <v>3</v>
      </c>
      <c r="U628">
        <f>Table1[[#This Row],[Face value]]*Table1[[#This Row],[Current coupon %]]/Table1[[#This Row],[Coupon Frequency2]]</f>
        <v>80</v>
      </c>
      <c r="V628" s="23">
        <f>RATE(Table1[[#This Row],[Total No. of Coupons]],Table1[[#This Row],[Coupon Amount]],-Table1[[#This Row],[Ask Price]],Table1[[#This Row],[Face value]])</f>
        <v>6.1251191904075165E-2</v>
      </c>
      <c r="W628" s="24">
        <f>Table1[[#This Row],[IRR]]*Table1[[#This Row],[Coupon Frequency2]]</f>
        <v>6.1251191904075165E-2</v>
      </c>
      <c r="X628" s="25" cm="1">
        <f t="array" ref="X6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8" s="26">
        <f>DURATION(Table1[[#This Row],[Issue date]],Table1[[#This Row],[Maturity date]],Table1[[#This Row],[Current coupon %]],Table1[[#This Row],[Yield (Annualised)]],Table1[[#This Row],[Coupon Frequency2]])</f>
        <v>2.7887644136845258</v>
      </c>
      <c r="Z628" s="26">
        <f>Table1[[#This Row],[Macaulay Duration in Years]]/(1+Table1[[#This Row],[IRR]])</f>
        <v>2.6278080391890835</v>
      </c>
      <c r="AA628" s="27">
        <f>VLOOKUP(Table1[[#This Row],[Yield Cluster]],'[1]Cluster Details'!$B$3:$C$16,2,0)</f>
        <v>7.8548801574189142E-2</v>
      </c>
      <c r="AB628" s="28">
        <f>PRICE(Table1[[#This Row],[Issue date]],Table1[[#This Row],[Maturity date]],Table1[[#This Row],[Current coupon %]],Table1[[#This Row],[Average Cluster Yield]],100,Table1[[#This Row],[Coupon Frequency2]])*Table1[[#This Row],[Face value]]/100</f>
        <v>1003.7496937676597</v>
      </c>
      <c r="AC628" s="27" t="str">
        <f>IF(Table1[[#This Row],[Ask Price]]&gt;Table1[[#This Row],[Calculated Bond Price]],"Rich","Cheap")</f>
        <v>Rich</v>
      </c>
      <c r="AD628" s="28">
        <f>PRICE(Table1[[#This Row],[Issue date]],Table1[[#This Row],[Maturity date]],Table1[[#This Row],[Current coupon %]],Table1[[#This Row],[Yield (Annualised)]]+$AE$2,100,Table1[[#This Row],[Coupon Frequency2]])*Table1[[#This Row],[Face value]]/100</f>
        <v>1022.9072532908831</v>
      </c>
      <c r="AE628" s="28">
        <f>PRICE(Table1[[#This Row],[Issue date]],Table1[[#This Row],[Maturity date]],Table1[[#This Row],[Current coupon %]],Table1[[#This Row],[Yield (Annualised)]]-$AE$2,100,Table1[[#This Row],[Coupon Frequency2]])*Table1[[#This Row],[Face value]]/100</f>
        <v>1078.1069463282481</v>
      </c>
      <c r="AF628" s="28">
        <f>(Table1[[#This Row],[P (+ shock)]]+Table1[[#This Row],[P (-shock)]]-2*Table1[[#This Row],[Ask Price]])/(2*Table1[[#This Row],[Ask Price]]*($AE$2^2))</f>
        <v>4.8295219958639617</v>
      </c>
    </row>
    <row r="629" spans="1:32" x14ac:dyDescent="0.25">
      <c r="A629" s="21" t="s">
        <v>1302</v>
      </c>
      <c r="B629" s="3" t="s">
        <v>1303</v>
      </c>
      <c r="C629" s="3" t="s">
        <v>19</v>
      </c>
      <c r="D629" s="4">
        <v>44859</v>
      </c>
      <c r="E629" s="4">
        <v>51434</v>
      </c>
      <c r="F629" s="3">
        <v>300</v>
      </c>
      <c r="G629" s="3" t="s">
        <v>20</v>
      </c>
      <c r="H629" s="3">
        <v>311.08</v>
      </c>
      <c r="I629" s="3" t="s">
        <v>20</v>
      </c>
      <c r="J629" s="3">
        <v>103.693333333333</v>
      </c>
      <c r="K629" s="3">
        <v>35</v>
      </c>
      <c r="L629" s="5">
        <v>7.9000000000000001E-2</v>
      </c>
      <c r="M629" s="3" t="s">
        <v>53</v>
      </c>
      <c r="N629" s="3">
        <v>5517</v>
      </c>
      <c r="O629" s="6">
        <f>Table1[[#This Row],[Current coupon %]]*Table1[[#This Row],[Face value]]/Table1[[#This Row],[Ask Price]]</f>
        <v>7.6186190047576194E-2</v>
      </c>
      <c r="P629" s="3"/>
      <c r="Q629" s="3" t="s">
        <v>22</v>
      </c>
      <c r="R629">
        <f t="shared" si="9"/>
        <v>18</v>
      </c>
      <c r="S629" s="22" cm="1">
        <f t="array" ref="S629">_xlfn.IFS(Table1[[#This Row],[Coupon frequency]]="Semi-annual",2,Table1[[#This Row],[Coupon frequency]]="Quarterly",4,Table1[[#This Row],[Coupon frequency]]="Annual",1,Table1[[#This Row],[Coupon frequency]]="Every 4 months",3,Table1[[#This Row],[Coupon frequency]]="Monthly",12)</f>
        <v>2</v>
      </c>
      <c r="T629">
        <f>Table1[[#This Row],[Term to Maturity (Years)]]*Table1[[#This Row],[Coupon Frequency2]]</f>
        <v>36</v>
      </c>
      <c r="U629">
        <f>Table1[[#This Row],[Face value]]*Table1[[#This Row],[Current coupon %]]/Table1[[#This Row],[Coupon Frequency2]]</f>
        <v>11.85</v>
      </c>
      <c r="V629" s="23">
        <f>RATE(Table1[[#This Row],[Total No. of Coupons]],Table1[[#This Row],[Coupon Amount]],-Table1[[#This Row],[Ask Price]],Table1[[#This Row],[Face value]])</f>
        <v>3.761084131516601E-2</v>
      </c>
      <c r="W629" s="24">
        <f>Table1[[#This Row],[IRR]]*Table1[[#This Row],[Coupon Frequency2]]</f>
        <v>7.5221682630332021E-2</v>
      </c>
      <c r="X629" s="25" cm="1">
        <f t="array" ref="X6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29" s="26">
        <f>DURATION(Table1[[#This Row],[Issue date]],Table1[[#This Row],[Maturity date]],Table1[[#This Row],[Current coupon %]],Table1[[#This Row],[Yield (Annualised)]],Table1[[#This Row],[Coupon Frequency2]])</f>
        <v>10.041975582774393</v>
      </c>
      <c r="Z629" s="26">
        <f>Table1[[#This Row],[Macaulay Duration in Years]]/(1+Table1[[#This Row],[IRR]])</f>
        <v>9.6779786630276963</v>
      </c>
      <c r="AA629" s="27">
        <f>VLOOKUP(Table1[[#This Row],[Yield Cluster]],'[1]Cluster Details'!$B$3:$C$16,2,0)</f>
        <v>7.8548801574189142E-2</v>
      </c>
      <c r="AB629" s="28">
        <f>PRICE(Table1[[#This Row],[Issue date]],Table1[[#This Row],[Maturity date]],Table1[[#This Row],[Current coupon %]],Table1[[#This Row],[Average Cluster Yield]],100,Table1[[#This Row],[Coupon Frequency2]])*Table1[[#This Row],[Face value]]/100</f>
        <v>301.29266681414998</v>
      </c>
      <c r="AC629" s="27" t="str">
        <f>IF(Table1[[#This Row],[Ask Price]]&gt;Table1[[#This Row],[Calculated Bond Price]],"Rich","Cheap")</f>
        <v>Rich</v>
      </c>
      <c r="AD629" s="28">
        <f>PRICE(Table1[[#This Row],[Issue date]],Table1[[#This Row],[Maturity date]],Table1[[#This Row],[Current coupon %]],Table1[[#This Row],[Yield (Annualised)]]+$AE$2,100,Table1[[#This Row],[Coupon Frequency2]])*Table1[[#This Row],[Face value]]/100</f>
        <v>282.97440667860081</v>
      </c>
      <c r="AE629" s="28">
        <f>PRICE(Table1[[#This Row],[Issue date]],Table1[[#This Row],[Maturity date]],Table1[[#This Row],[Current coupon %]],Table1[[#This Row],[Yield (Annualised)]]-$AE$2,100,Table1[[#This Row],[Coupon Frequency2]])*Table1[[#This Row],[Face value]]/100</f>
        <v>343.4140485684789</v>
      </c>
      <c r="AF629" s="28">
        <f>(Table1[[#This Row],[P (+ shock)]]+Table1[[#This Row],[P (-shock)]]-2*Table1[[#This Row],[Ask Price]])/(2*Table1[[#This Row],[Ask Price]]*($AE$2^2))</f>
        <v>67.964112882212788</v>
      </c>
    </row>
    <row r="630" spans="1:32" x14ac:dyDescent="0.25">
      <c r="A630" s="21" t="s">
        <v>1304</v>
      </c>
      <c r="B630" s="3" t="s">
        <v>1305</v>
      </c>
      <c r="C630" s="3" t="s">
        <v>19</v>
      </c>
      <c r="D630" s="4">
        <v>44859</v>
      </c>
      <c r="E630" s="4">
        <v>49607</v>
      </c>
      <c r="F630" s="3">
        <v>300</v>
      </c>
      <c r="G630" s="3" t="s">
        <v>20</v>
      </c>
      <c r="H630" s="3">
        <v>311.16000000000003</v>
      </c>
      <c r="I630" s="3" t="s">
        <v>20</v>
      </c>
      <c r="J630" s="3">
        <v>103.72</v>
      </c>
      <c r="K630" s="3">
        <v>35</v>
      </c>
      <c r="L630" s="5">
        <v>7.9000000000000001E-2</v>
      </c>
      <c r="M630" s="3" t="s">
        <v>53</v>
      </c>
      <c r="N630" s="3">
        <v>3690</v>
      </c>
      <c r="O630" s="6">
        <f>Table1[[#This Row],[Current coupon %]]*Table1[[#This Row],[Face value]]/Table1[[#This Row],[Ask Price]]</f>
        <v>7.6166602391052829E-2</v>
      </c>
      <c r="P630" s="3"/>
      <c r="Q630" s="3" t="s">
        <v>22</v>
      </c>
      <c r="R630">
        <f t="shared" si="9"/>
        <v>13</v>
      </c>
      <c r="S630" s="22" cm="1">
        <f t="array" ref="S630">_xlfn.IFS(Table1[[#This Row],[Coupon frequency]]="Semi-annual",2,Table1[[#This Row],[Coupon frequency]]="Quarterly",4,Table1[[#This Row],[Coupon frequency]]="Annual",1,Table1[[#This Row],[Coupon frequency]]="Every 4 months",3,Table1[[#This Row],[Coupon frequency]]="Monthly",12)</f>
        <v>2</v>
      </c>
      <c r="T630">
        <f>Table1[[#This Row],[Term to Maturity (Years)]]*Table1[[#This Row],[Coupon Frequency2]]</f>
        <v>26</v>
      </c>
      <c r="U630">
        <f>Table1[[#This Row],[Face value]]*Table1[[#This Row],[Current coupon %]]/Table1[[#This Row],[Coupon Frequency2]]</f>
        <v>11.85</v>
      </c>
      <c r="V630" s="23">
        <f>RATE(Table1[[#This Row],[Total No. of Coupons]],Table1[[#This Row],[Coupon Amount]],-Table1[[#This Row],[Ask Price]],Table1[[#This Row],[Face value]])</f>
        <v>3.7241912190670114E-2</v>
      </c>
      <c r="W630" s="24">
        <f>Table1[[#This Row],[IRR]]*Table1[[#This Row],[Coupon Frequency2]]</f>
        <v>7.4483824381340227E-2</v>
      </c>
      <c r="X630" s="25" cm="1">
        <f t="array" ref="X6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0" s="26">
        <f>DURATION(Table1[[#This Row],[Issue date]],Table1[[#This Row],[Maturity date]],Table1[[#This Row],[Current coupon %]],Table1[[#This Row],[Yield (Annualised)]],Table1[[#This Row],[Coupon Frequency2]])</f>
        <v>8.4431453325474735</v>
      </c>
      <c r="Z630" s="26">
        <f>Table1[[#This Row],[Macaulay Duration in Years]]/(1+Table1[[#This Row],[IRR]])</f>
        <v>8.1399963049270028</v>
      </c>
      <c r="AA630" s="27">
        <f>VLOOKUP(Table1[[#This Row],[Yield Cluster]],'[1]Cluster Details'!$B$3:$C$16,2,0)</f>
        <v>7.8548801574189142E-2</v>
      </c>
      <c r="AB630" s="28">
        <f>PRICE(Table1[[#This Row],[Issue date]],Table1[[#This Row],[Maturity date]],Table1[[#This Row],[Current coupon %]],Table1[[#This Row],[Average Cluster Yield]],100,Table1[[#This Row],[Coupon Frequency2]])*Table1[[#This Row],[Face value]]/100</f>
        <v>301.09031280189663</v>
      </c>
      <c r="AC630" s="27" t="str">
        <f>IF(Table1[[#This Row],[Ask Price]]&gt;Table1[[#This Row],[Calculated Bond Price]],"Rich","Cheap")</f>
        <v>Rich</v>
      </c>
      <c r="AD630" s="28">
        <f>PRICE(Table1[[#This Row],[Issue date]],Table1[[#This Row],[Maturity date]],Table1[[#This Row],[Current coupon %]],Table1[[#This Row],[Yield (Annualised)]]+$AE$2,100,Table1[[#This Row],[Coupon Frequency2]])*Table1[[#This Row],[Face value]]/100</f>
        <v>287.16831606779505</v>
      </c>
      <c r="AE630" s="28">
        <f>PRICE(Table1[[#This Row],[Issue date]],Table1[[#This Row],[Maturity date]],Table1[[#This Row],[Current coupon %]],Table1[[#This Row],[Yield (Annualised)]]-$AE$2,100,Table1[[#This Row],[Coupon Frequency2]])*Table1[[#This Row],[Face value]]/100</f>
        <v>337.9400116847043</v>
      </c>
      <c r="AF630" s="28">
        <f>(Table1[[#This Row],[P (+ shock)]]+Table1[[#This Row],[P (-shock)]]-2*Table1[[#This Row],[Ask Price]])/(2*Table1[[#This Row],[Ask Price]]*($AE$2^2))</f>
        <v>44.805369464251491</v>
      </c>
    </row>
    <row r="631" spans="1:32" x14ac:dyDescent="0.25">
      <c r="A631" s="21" t="s">
        <v>1306</v>
      </c>
      <c r="B631" s="3" t="s">
        <v>1307</v>
      </c>
      <c r="C631" s="3" t="s">
        <v>19</v>
      </c>
      <c r="D631" s="4">
        <v>43647</v>
      </c>
      <c r="E631" s="4">
        <v>49126</v>
      </c>
      <c r="F631" s="3">
        <v>1000000</v>
      </c>
      <c r="G631" s="3" t="s">
        <v>20</v>
      </c>
      <c r="H631" s="3">
        <v>1035000</v>
      </c>
      <c r="I631" s="3" t="s">
        <v>20</v>
      </c>
      <c r="J631" s="3">
        <v>103.49999999999901</v>
      </c>
      <c r="K631" s="3">
        <v>2</v>
      </c>
      <c r="L631" s="5">
        <v>7.85E-2</v>
      </c>
      <c r="M631" s="3" t="s">
        <v>21</v>
      </c>
      <c r="N631" s="3">
        <v>3209</v>
      </c>
      <c r="O631" s="6">
        <f>Table1[[#This Row],[Current coupon %]]*Table1[[#This Row],[Face value]]/Table1[[#This Row],[Ask Price]]</f>
        <v>7.5845410628019319E-2</v>
      </c>
      <c r="P631" s="3" t="s">
        <v>297</v>
      </c>
      <c r="Q631" s="3" t="s">
        <v>22</v>
      </c>
      <c r="R631">
        <f t="shared" si="9"/>
        <v>15</v>
      </c>
      <c r="S631" s="22" cm="1">
        <f t="array" ref="S631">_xlfn.IFS(Table1[[#This Row],[Coupon frequency]]="Semi-annual",2,Table1[[#This Row],[Coupon frequency]]="Quarterly",4,Table1[[#This Row],[Coupon frequency]]="Annual",1,Table1[[#This Row],[Coupon frequency]]="Every 4 months",3,Table1[[#This Row],[Coupon frequency]]="Monthly",12)</f>
        <v>1</v>
      </c>
      <c r="T631">
        <f>Table1[[#This Row],[Term to Maturity (Years)]]*Table1[[#This Row],[Coupon Frequency2]]</f>
        <v>15</v>
      </c>
      <c r="U631">
        <f>Table1[[#This Row],[Face value]]*Table1[[#This Row],[Current coupon %]]/Table1[[#This Row],[Coupon Frequency2]]</f>
        <v>78500</v>
      </c>
      <c r="V631" s="23">
        <f>RATE(Table1[[#This Row],[Total No. of Coupons]],Table1[[#This Row],[Coupon Amount]],-Table1[[#This Row],[Ask Price]],Table1[[#This Row],[Face value]])</f>
        <v>7.4546115769978688E-2</v>
      </c>
      <c r="W631" s="24">
        <f>Table1[[#This Row],[IRR]]*Table1[[#This Row],[Coupon Frequency2]]</f>
        <v>7.4546115769978688E-2</v>
      </c>
      <c r="X631" s="25" cm="1">
        <f t="array" ref="X6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1" s="26">
        <f>DURATION(Table1[[#This Row],[Issue date]],Table1[[#This Row],[Maturity date]],Table1[[#This Row],[Current coupon %]],Table1[[#This Row],[Yield (Annualised)]],Table1[[#This Row],[Coupon Frequency2]])</f>
        <v>9.4162875041732814</v>
      </c>
      <c r="Z631" s="26">
        <f>Table1[[#This Row],[Macaulay Duration in Years]]/(1+Table1[[#This Row],[IRR]])</f>
        <v>8.7630371242149341</v>
      </c>
      <c r="AA631" s="27">
        <f>VLOOKUP(Table1[[#This Row],[Yield Cluster]],'[1]Cluster Details'!$B$3:$C$16,2,0)</f>
        <v>7.8548801574189142E-2</v>
      </c>
      <c r="AB631" s="28">
        <f>PRICE(Table1[[#This Row],[Issue date]],Table1[[#This Row],[Maturity date]],Table1[[#This Row],[Current coupon %]],Table1[[#This Row],[Average Cluster Yield]],100,Table1[[#This Row],[Coupon Frequency2]])*Table1[[#This Row],[Face value]]/100</f>
        <v>999578.55696449208</v>
      </c>
      <c r="AC631" s="27" t="str">
        <f>IF(Table1[[#This Row],[Ask Price]]&gt;Table1[[#This Row],[Calculated Bond Price]],"Rich","Cheap")</f>
        <v>Rich</v>
      </c>
      <c r="AD631" s="28">
        <f>PRICE(Table1[[#This Row],[Issue date]],Table1[[#This Row],[Maturity date]],Table1[[#This Row],[Current coupon %]],Table1[[#This Row],[Yield (Annualised)]]+$AE$2,100,Table1[[#This Row],[Coupon Frequency2]])*Table1[[#This Row],[Face value]]/100</f>
        <v>949654.51503540913</v>
      </c>
      <c r="AE631" s="28">
        <f>PRICE(Table1[[#This Row],[Issue date]],Table1[[#This Row],[Maturity date]],Table1[[#This Row],[Current coupon %]],Table1[[#This Row],[Yield (Annualised)]]-$AE$2,100,Table1[[#This Row],[Coupon Frequency2]])*Table1[[#This Row],[Face value]]/100</f>
        <v>1131587.1698055239</v>
      </c>
      <c r="AF631" s="28">
        <f>(Table1[[#This Row],[P (+ shock)]]+Table1[[#This Row],[P (-shock)]]-2*Table1[[#This Row],[Ask Price]])/(2*Table1[[#This Row],[Ask Price]]*($AE$2^2))</f>
        <v>54.307656236391082</v>
      </c>
    </row>
    <row r="632" spans="1:32" x14ac:dyDescent="0.25">
      <c r="A632" s="21" t="s">
        <v>1308</v>
      </c>
      <c r="B632" s="3" t="s">
        <v>1309</v>
      </c>
      <c r="C632" s="3" t="s">
        <v>19</v>
      </c>
      <c r="D632" s="4">
        <v>45203</v>
      </c>
      <c r="E632" s="4">
        <v>46299</v>
      </c>
      <c r="F632" s="3">
        <v>1000</v>
      </c>
      <c r="G632" s="3" t="s">
        <v>20</v>
      </c>
      <c r="H632" s="3">
        <v>1055</v>
      </c>
      <c r="I632" s="3" t="s">
        <v>20</v>
      </c>
      <c r="J632" s="3">
        <v>105.5</v>
      </c>
      <c r="K632" s="3">
        <v>10</v>
      </c>
      <c r="L632" s="5">
        <v>0.08</v>
      </c>
      <c r="M632" s="3" t="s">
        <v>21</v>
      </c>
      <c r="N632" s="3">
        <v>382</v>
      </c>
      <c r="O632" s="6">
        <f>Table1[[#This Row],[Current coupon %]]*Table1[[#This Row],[Face value]]/Table1[[#This Row],[Ask Price]]</f>
        <v>7.582938388625593E-2</v>
      </c>
      <c r="P632" s="3" t="s">
        <v>97</v>
      </c>
      <c r="Q632" s="3" t="s">
        <v>22</v>
      </c>
      <c r="R632">
        <f t="shared" si="9"/>
        <v>3</v>
      </c>
      <c r="S632" s="22" cm="1">
        <f t="array" ref="S632">_xlfn.IFS(Table1[[#This Row],[Coupon frequency]]="Semi-annual",2,Table1[[#This Row],[Coupon frequency]]="Quarterly",4,Table1[[#This Row],[Coupon frequency]]="Annual",1,Table1[[#This Row],[Coupon frequency]]="Every 4 months",3,Table1[[#This Row],[Coupon frequency]]="Monthly",12)</f>
        <v>1</v>
      </c>
      <c r="T632">
        <f>Table1[[#This Row],[Term to Maturity (Years)]]*Table1[[#This Row],[Coupon Frequency2]]</f>
        <v>3</v>
      </c>
      <c r="U632">
        <f>Table1[[#This Row],[Face value]]*Table1[[#This Row],[Current coupon %]]/Table1[[#This Row],[Coupon Frequency2]]</f>
        <v>80</v>
      </c>
      <c r="V632" s="23">
        <f>RATE(Table1[[#This Row],[Total No. of Coupons]],Table1[[#This Row],[Coupon Amount]],-Table1[[#This Row],[Ask Price]],Table1[[#This Row],[Face value]])</f>
        <v>5.9445082083904519E-2</v>
      </c>
      <c r="W632" s="24">
        <f>Table1[[#This Row],[IRR]]*Table1[[#This Row],[Coupon Frequency2]]</f>
        <v>5.9445082083904519E-2</v>
      </c>
      <c r="X632" s="25" cm="1">
        <f t="array" ref="X6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2" s="26">
        <f>DURATION(Table1[[#This Row],[Issue date]],Table1[[#This Row],[Maturity date]],Table1[[#This Row],[Current coupon %]],Table1[[#This Row],[Yield (Annualised)]],Table1[[#This Row],[Coupon Frequency2]])</f>
        <v>2.7892921530229966</v>
      </c>
      <c r="Z632" s="26">
        <f>Table1[[#This Row],[Macaulay Duration in Years]]/(1+Table1[[#This Row],[IRR]])</f>
        <v>2.6327859746505426</v>
      </c>
      <c r="AA632" s="27">
        <f>VLOOKUP(Table1[[#This Row],[Yield Cluster]],'[1]Cluster Details'!$B$3:$C$16,2,0)</f>
        <v>7.8548801574189142E-2</v>
      </c>
      <c r="AB632" s="28">
        <f>PRICE(Table1[[#This Row],[Issue date]],Table1[[#This Row],[Maturity date]],Table1[[#This Row],[Current coupon %]],Table1[[#This Row],[Average Cluster Yield]],100,Table1[[#This Row],[Coupon Frequency2]])*Table1[[#This Row],[Face value]]/100</f>
        <v>1003.7496937676597</v>
      </c>
      <c r="AC632" s="27" t="str">
        <f>IF(Table1[[#This Row],[Ask Price]]&gt;Table1[[#This Row],[Calculated Bond Price]],"Rich","Cheap")</f>
        <v>Rich</v>
      </c>
      <c r="AD632" s="28">
        <f>PRICE(Table1[[#This Row],[Issue date]],Table1[[#This Row],[Maturity date]],Table1[[#This Row],[Current coupon %]],Table1[[#This Row],[Yield (Annualised)]]+$AE$2,100,Table1[[#This Row],[Coupon Frequency2]])*Table1[[#This Row],[Face value]]/100</f>
        <v>1027.7275476670848</v>
      </c>
      <c r="AE632" s="28">
        <f>PRICE(Table1[[#This Row],[Issue date]],Table1[[#This Row],[Maturity date]],Table1[[#This Row],[Current coupon %]],Table1[[#This Row],[Yield (Annualised)]]-$AE$2,100,Table1[[#This Row],[Coupon Frequency2]])*Table1[[#This Row],[Face value]]/100</f>
        <v>1083.2952162293593</v>
      </c>
      <c r="AF632" s="28">
        <f>(Table1[[#This Row],[P (+ shock)]]+Table1[[#This Row],[P (-shock)]]-2*Table1[[#This Row],[Ask Price]])/(2*Table1[[#This Row],[Ask Price]]*($AE$2^2))</f>
        <v>4.8472222580298716</v>
      </c>
    </row>
    <row r="633" spans="1:32" x14ac:dyDescent="0.25">
      <c r="A633" s="21" t="s">
        <v>1310</v>
      </c>
      <c r="B633" s="3" t="s">
        <v>1311</v>
      </c>
      <c r="C633" s="3" t="s">
        <v>19</v>
      </c>
      <c r="D633" s="4">
        <v>45139</v>
      </c>
      <c r="E633" s="4">
        <v>46235</v>
      </c>
      <c r="F633" s="3">
        <v>1000</v>
      </c>
      <c r="G633" s="3" t="s">
        <v>20</v>
      </c>
      <c r="H633" s="3">
        <v>990.01</v>
      </c>
      <c r="I633" s="3" t="s">
        <v>20</v>
      </c>
      <c r="J633" s="3">
        <v>99.000999999999905</v>
      </c>
      <c r="K633" s="3">
        <v>2</v>
      </c>
      <c r="L633" s="5">
        <v>7.4999999999999997E-2</v>
      </c>
      <c r="M633" s="3" t="s">
        <v>21</v>
      </c>
      <c r="N633" s="3">
        <v>318</v>
      </c>
      <c r="O633" s="6">
        <f>Table1[[#This Row],[Current coupon %]]*Table1[[#This Row],[Face value]]/Table1[[#This Row],[Ask Price]]</f>
        <v>7.5756810537267308E-2</v>
      </c>
      <c r="P633" s="3" t="s">
        <v>54</v>
      </c>
      <c r="Q633" s="3" t="s">
        <v>22</v>
      </c>
      <c r="R633">
        <f t="shared" si="9"/>
        <v>3</v>
      </c>
      <c r="S633" s="22" cm="1">
        <f t="array" ref="S633">_xlfn.IFS(Table1[[#This Row],[Coupon frequency]]="Semi-annual",2,Table1[[#This Row],[Coupon frequency]]="Quarterly",4,Table1[[#This Row],[Coupon frequency]]="Annual",1,Table1[[#This Row],[Coupon frequency]]="Every 4 months",3,Table1[[#This Row],[Coupon frequency]]="Monthly",12)</f>
        <v>1</v>
      </c>
      <c r="T633">
        <f>Table1[[#This Row],[Term to Maturity (Years)]]*Table1[[#This Row],[Coupon Frequency2]]</f>
        <v>3</v>
      </c>
      <c r="U633">
        <f>Table1[[#This Row],[Face value]]*Table1[[#This Row],[Current coupon %]]/Table1[[#This Row],[Coupon Frequency2]]</f>
        <v>75</v>
      </c>
      <c r="V633" s="23">
        <f>RATE(Table1[[#This Row],[Total No. of Coupons]],Table1[[#This Row],[Coupon Amount]],-Table1[[#This Row],[Ask Price]],Table1[[#This Row],[Face value]])</f>
        <v>7.8868543188803236E-2</v>
      </c>
      <c r="W633" s="24">
        <f>Table1[[#This Row],[IRR]]*Table1[[#This Row],[Coupon Frequency2]]</f>
        <v>7.8868543188803236E-2</v>
      </c>
      <c r="X633" s="25" cm="1">
        <f t="array" ref="X6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3" s="26">
        <f>DURATION(Table1[[#This Row],[Issue date]],Table1[[#This Row],[Maturity date]],Table1[[#This Row],[Current coupon %]],Table1[[#This Row],[Yield (Annualised)]],Table1[[#This Row],[Coupon Frequency2]])</f>
        <v>2.7944769251433517</v>
      </c>
      <c r="Z633" s="26">
        <f>Table1[[#This Row],[Macaulay Duration in Years]]/(1+Table1[[#This Row],[IRR]])</f>
        <v>2.5901922368444801</v>
      </c>
      <c r="AA633" s="27">
        <f>VLOOKUP(Table1[[#This Row],[Yield Cluster]],'[1]Cluster Details'!$B$3:$C$16,2,0)</f>
        <v>7.8548801574189142E-2</v>
      </c>
      <c r="AB633" s="28">
        <f>PRICE(Table1[[#This Row],[Issue date]],Table1[[#This Row],[Maturity date]],Table1[[#This Row],[Current coupon %]],Table1[[#This Row],[Average Cluster Yield]],100,Table1[[#This Row],[Coupon Frequency2]])*Table1[[#This Row],[Face value]]/100</f>
        <v>990.83039306774231</v>
      </c>
      <c r="AC633" s="27" t="str">
        <f>IF(Table1[[#This Row],[Ask Price]]&gt;Table1[[#This Row],[Calculated Bond Price]],"Rich","Cheap")</f>
        <v>Cheap</v>
      </c>
      <c r="AD633" s="28">
        <f>PRICE(Table1[[#This Row],[Issue date]],Table1[[#This Row],[Maturity date]],Table1[[#This Row],[Current coupon %]],Table1[[#This Row],[Yield (Annualised)]]+$AE$2,100,Table1[[#This Row],[Coupon Frequency2]])*Table1[[#This Row],[Face value]]/100</f>
        <v>964.82371960733985</v>
      </c>
      <c r="AE633" s="28">
        <f>PRICE(Table1[[#This Row],[Issue date]],Table1[[#This Row],[Maturity date]],Table1[[#This Row],[Current coupon %]],Table1[[#This Row],[Yield (Annualised)]]-$AE$2,100,Table1[[#This Row],[Coupon Frequency2]])*Table1[[#This Row],[Face value]]/100</f>
        <v>1016.1242017965295</v>
      </c>
      <c r="AF633" s="28">
        <f>(Table1[[#This Row],[P (+ shock)]]+Table1[[#This Row],[P (-shock)]]-2*Table1[[#This Row],[Ask Price]])/(2*Table1[[#This Row],[Ask Price]]*($AE$2^2))</f>
        <v>4.6864243990933279</v>
      </c>
    </row>
    <row r="634" spans="1:32" x14ac:dyDescent="0.25">
      <c r="A634" s="21" t="s">
        <v>1312</v>
      </c>
      <c r="B634" s="3" t="s">
        <v>1313</v>
      </c>
      <c r="C634" s="3" t="s">
        <v>19</v>
      </c>
      <c r="D634" s="4">
        <v>42816</v>
      </c>
      <c r="E634" s="4">
        <v>46468</v>
      </c>
      <c r="F634" s="3">
        <v>1000000</v>
      </c>
      <c r="G634" s="3" t="s">
        <v>20</v>
      </c>
      <c r="H634" s="3">
        <v>1023047.1</v>
      </c>
      <c r="I634" s="3" t="s">
        <v>20</v>
      </c>
      <c r="J634" s="3">
        <v>102.30470999999901</v>
      </c>
      <c r="K634" s="3">
        <v>1</v>
      </c>
      <c r="L634" s="5">
        <v>7.7499999999999999E-2</v>
      </c>
      <c r="M634" s="3" t="s">
        <v>53</v>
      </c>
      <c r="N634" s="3">
        <v>551</v>
      </c>
      <c r="O634" s="6">
        <f>Table1[[#This Row],[Current coupon %]]*Table1[[#This Row],[Face value]]/Table1[[#This Row],[Ask Price]]</f>
        <v>7.575408795939112E-2</v>
      </c>
      <c r="P634" s="3" t="s">
        <v>54</v>
      </c>
      <c r="Q634" s="3" t="s">
        <v>22</v>
      </c>
      <c r="R634">
        <f t="shared" si="9"/>
        <v>10</v>
      </c>
      <c r="S634" s="22" cm="1">
        <f t="array" ref="S634">_xlfn.IFS(Table1[[#This Row],[Coupon frequency]]="Semi-annual",2,Table1[[#This Row],[Coupon frequency]]="Quarterly",4,Table1[[#This Row],[Coupon frequency]]="Annual",1,Table1[[#This Row],[Coupon frequency]]="Every 4 months",3,Table1[[#This Row],[Coupon frequency]]="Monthly",12)</f>
        <v>2</v>
      </c>
      <c r="T634">
        <f>Table1[[#This Row],[Term to Maturity (Years)]]*Table1[[#This Row],[Coupon Frequency2]]</f>
        <v>20</v>
      </c>
      <c r="U634">
        <f>Table1[[#This Row],[Face value]]*Table1[[#This Row],[Current coupon %]]/Table1[[#This Row],[Coupon Frequency2]]</f>
        <v>38750</v>
      </c>
      <c r="V634" s="23">
        <f>RATE(Table1[[#This Row],[Total No. of Coupons]],Table1[[#This Row],[Coupon Amount]],-Table1[[#This Row],[Ask Price]],Table1[[#This Row],[Face value]])</f>
        <v>3.7097452886843567E-2</v>
      </c>
      <c r="W634" s="24">
        <f>Table1[[#This Row],[IRR]]*Table1[[#This Row],[Coupon Frequency2]]</f>
        <v>7.4194905773687134E-2</v>
      </c>
      <c r="X634" s="25" cm="1">
        <f t="array" ref="X6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4" s="26">
        <f>DURATION(Table1[[#This Row],[Issue date]],Table1[[#This Row],[Maturity date]],Table1[[#This Row],[Current coupon %]],Table1[[#This Row],[Yield (Annualised)]],Table1[[#This Row],[Coupon Frequency2]])</f>
        <v>7.1737223979494491</v>
      </c>
      <c r="Z634" s="26">
        <f>Table1[[#This Row],[Macaulay Duration in Years]]/(1+Table1[[#This Row],[IRR]])</f>
        <v>6.9171150483311097</v>
      </c>
      <c r="AA634" s="27">
        <f>VLOOKUP(Table1[[#This Row],[Yield Cluster]],'[1]Cluster Details'!$B$3:$C$16,2,0)</f>
        <v>7.8548801574189142E-2</v>
      </c>
      <c r="AB634" s="28">
        <f>PRICE(Table1[[#This Row],[Issue date]],Table1[[#This Row],[Maturity date]],Table1[[#This Row],[Current coupon %]],Table1[[#This Row],[Average Cluster Yield]],100,Table1[[#This Row],[Coupon Frequency2]])*Table1[[#This Row],[Face value]]/100</f>
        <v>992827.21184085484</v>
      </c>
      <c r="AC634" s="27" t="str">
        <f>IF(Table1[[#This Row],[Ask Price]]&gt;Table1[[#This Row],[Calculated Bond Price]],"Rich","Cheap")</f>
        <v>Rich</v>
      </c>
      <c r="AD634" s="28">
        <f>PRICE(Table1[[#This Row],[Issue date]],Table1[[#This Row],[Maturity date]],Table1[[#This Row],[Current coupon %]],Table1[[#This Row],[Yield (Annualised)]]+$AE$2,100,Table1[[#This Row],[Coupon Frequency2]])*Table1[[#This Row],[Face value]]/100</f>
        <v>955340.4013392143</v>
      </c>
      <c r="AE634" s="28">
        <f>PRICE(Table1[[#This Row],[Issue date]],Table1[[#This Row],[Maturity date]],Table1[[#This Row],[Current coupon %]],Table1[[#This Row],[Yield (Annualised)]]-$AE$2,100,Table1[[#This Row],[Coupon Frequency2]])*Table1[[#This Row],[Face value]]/100</f>
        <v>1097080.7786194189</v>
      </c>
      <c r="AF634" s="28">
        <f>(Table1[[#This Row],[P (+ shock)]]+Table1[[#This Row],[P (-shock)]]-2*Table1[[#This Row],[Ask Price]])/(2*Table1[[#This Row],[Ask Price]]*($AE$2^2))</f>
        <v>30.922232019587337</v>
      </c>
    </row>
    <row r="635" spans="1:32" x14ac:dyDescent="0.25">
      <c r="A635" s="21" t="s">
        <v>1314</v>
      </c>
      <c r="B635" s="3" t="s">
        <v>1315</v>
      </c>
      <c r="C635" s="3" t="s">
        <v>19</v>
      </c>
      <c r="D635" s="4">
        <v>41725</v>
      </c>
      <c r="E635" s="4">
        <v>47204</v>
      </c>
      <c r="F635" s="3">
        <v>1000</v>
      </c>
      <c r="G635" s="3" t="s">
        <v>20</v>
      </c>
      <c r="H635" s="3">
        <v>1130</v>
      </c>
      <c r="I635" s="3" t="s">
        <v>20</v>
      </c>
      <c r="J635" s="3">
        <v>112.99999999999901</v>
      </c>
      <c r="K635" s="3">
        <v>800</v>
      </c>
      <c r="L635" s="5">
        <v>8.5500000000000007E-2</v>
      </c>
      <c r="M635" s="3" t="s">
        <v>21</v>
      </c>
      <c r="N635" s="3">
        <v>1287</v>
      </c>
      <c r="O635" s="6">
        <f>Table1[[#This Row],[Current coupon %]]*Table1[[#This Row],[Face value]]/Table1[[#This Row],[Ask Price]]</f>
        <v>7.5663716814159288E-2</v>
      </c>
      <c r="P635" s="3" t="s">
        <v>54</v>
      </c>
      <c r="Q635" s="3" t="s">
        <v>22</v>
      </c>
      <c r="R635">
        <f t="shared" si="9"/>
        <v>15</v>
      </c>
      <c r="S635" s="22" cm="1">
        <f t="array" ref="S635">_xlfn.IFS(Table1[[#This Row],[Coupon frequency]]="Semi-annual",2,Table1[[#This Row],[Coupon frequency]]="Quarterly",4,Table1[[#This Row],[Coupon frequency]]="Annual",1,Table1[[#This Row],[Coupon frequency]]="Every 4 months",3,Table1[[#This Row],[Coupon frequency]]="Monthly",12)</f>
        <v>1</v>
      </c>
      <c r="T635">
        <f>Table1[[#This Row],[Term to Maturity (Years)]]*Table1[[#This Row],[Coupon Frequency2]]</f>
        <v>15</v>
      </c>
      <c r="U635">
        <f>Table1[[#This Row],[Face value]]*Table1[[#This Row],[Current coupon %]]/Table1[[#This Row],[Coupon Frequency2]]</f>
        <v>85.5</v>
      </c>
      <c r="V635" s="23">
        <f>RATE(Table1[[#This Row],[Total No. of Coupons]],Table1[[#This Row],[Coupon Amount]],-Table1[[#This Row],[Ask Price]],Table1[[#This Row],[Face value]])</f>
        <v>7.1125101259408768E-2</v>
      </c>
      <c r="W635" s="24">
        <f>Table1[[#This Row],[IRR]]*Table1[[#This Row],[Coupon Frequency2]]</f>
        <v>7.1125101259408768E-2</v>
      </c>
      <c r="X635" s="25" cm="1">
        <f t="array" ref="X6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5" s="26">
        <f>DURATION(Table1[[#This Row],[Issue date]],Table1[[#This Row],[Maturity date]],Table1[[#This Row],[Current coupon %]],Table1[[#This Row],[Yield (Annualised)]],Table1[[#This Row],[Coupon Frequency2]])</f>
        <v>9.3477180881033917</v>
      </c>
      <c r="Z635" s="26">
        <f>Table1[[#This Row],[Macaulay Duration in Years]]/(1+Table1[[#This Row],[IRR]])</f>
        <v>8.7270087099186835</v>
      </c>
      <c r="AA635" s="27">
        <f>VLOOKUP(Table1[[#This Row],[Yield Cluster]],'[1]Cluster Details'!$B$3:$C$16,2,0)</f>
        <v>7.8548801574189142E-2</v>
      </c>
      <c r="AB635" s="28">
        <f>PRICE(Table1[[#This Row],[Issue date]],Table1[[#This Row],[Maturity date]],Table1[[#This Row],[Current coupon %]],Table1[[#This Row],[Average Cluster Yield]],100,Table1[[#This Row],[Coupon Frequency2]])*Table1[[#This Row],[Face value]]/100</f>
        <v>1060.0295013772532</v>
      </c>
      <c r="AC635" s="27" t="str">
        <f>IF(Table1[[#This Row],[Ask Price]]&gt;Table1[[#This Row],[Calculated Bond Price]],"Rich","Cheap")</f>
        <v>Rich</v>
      </c>
      <c r="AD635" s="28">
        <f>PRICE(Table1[[#This Row],[Issue date]],Table1[[#This Row],[Maturity date]],Table1[[#This Row],[Current coupon %]],Table1[[#This Row],[Yield (Annualised)]]+$AE$2,100,Table1[[#This Row],[Coupon Frequency2]])*Table1[[#This Row],[Face value]]/100</f>
        <v>1037.1909651710696</v>
      </c>
      <c r="AE635" s="28">
        <f>PRICE(Table1[[#This Row],[Issue date]],Table1[[#This Row],[Maturity date]],Table1[[#This Row],[Current coupon %]],Table1[[#This Row],[Yield (Annualised)]]-$AE$2,100,Table1[[#This Row],[Coupon Frequency2]])*Table1[[#This Row],[Face value]]/100</f>
        <v>1235.0044375510683</v>
      </c>
      <c r="AF635" s="28">
        <f>(Table1[[#This Row],[P (+ shock)]]+Table1[[#This Row],[P (-shock)]]-2*Table1[[#This Row],[Ask Price]])/(2*Table1[[#This Row],[Ask Price]]*($AE$2^2))</f>
        <v>53.96195894751402</v>
      </c>
    </row>
    <row r="636" spans="1:32" x14ac:dyDescent="0.25">
      <c r="A636" s="21" t="s">
        <v>1316</v>
      </c>
      <c r="B636" s="3" t="s">
        <v>1317</v>
      </c>
      <c r="C636" s="3" t="s">
        <v>19</v>
      </c>
      <c r="D636" s="4">
        <v>44918</v>
      </c>
      <c r="E636" s="4">
        <v>46744</v>
      </c>
      <c r="F636" s="3">
        <v>1000</v>
      </c>
      <c r="G636" s="3" t="s">
        <v>20</v>
      </c>
      <c r="H636" s="3">
        <v>1025.02</v>
      </c>
      <c r="I636" s="3" t="s">
        <v>20</v>
      </c>
      <c r="J636" s="3">
        <v>102.502</v>
      </c>
      <c r="K636" s="3">
        <v>150</v>
      </c>
      <c r="L636" s="5">
        <v>7.7499999999999999E-2</v>
      </c>
      <c r="M636" s="3" t="s">
        <v>21</v>
      </c>
      <c r="N636" s="3">
        <v>827</v>
      </c>
      <c r="O636" s="6">
        <f>Table1[[#This Row],[Current coupon %]]*Table1[[#This Row],[Face value]]/Table1[[#This Row],[Ask Price]]</f>
        <v>7.5608280814032897E-2</v>
      </c>
      <c r="P636" s="3" t="s">
        <v>97</v>
      </c>
      <c r="Q636" s="3" t="s">
        <v>22</v>
      </c>
      <c r="R636">
        <f t="shared" si="9"/>
        <v>5</v>
      </c>
      <c r="S636" s="22" cm="1">
        <f t="array" ref="S636">_xlfn.IFS(Table1[[#This Row],[Coupon frequency]]="Semi-annual",2,Table1[[#This Row],[Coupon frequency]]="Quarterly",4,Table1[[#This Row],[Coupon frequency]]="Annual",1,Table1[[#This Row],[Coupon frequency]]="Every 4 months",3,Table1[[#This Row],[Coupon frequency]]="Monthly",12)</f>
        <v>1</v>
      </c>
      <c r="T636">
        <f>Table1[[#This Row],[Term to Maturity (Years)]]*Table1[[#This Row],[Coupon Frequency2]]</f>
        <v>5</v>
      </c>
      <c r="U636">
        <f>Table1[[#This Row],[Face value]]*Table1[[#This Row],[Current coupon %]]/Table1[[#This Row],[Coupon Frequency2]]</f>
        <v>77.5</v>
      </c>
      <c r="V636" s="23">
        <f>RATE(Table1[[#This Row],[Total No. of Coupons]],Table1[[#This Row],[Coupon Amount]],-Table1[[#This Row],[Ask Price]],Table1[[#This Row],[Face value]])</f>
        <v>7.1375366313370089E-2</v>
      </c>
      <c r="W636" s="24">
        <f>Table1[[#This Row],[IRR]]*Table1[[#This Row],[Coupon Frequency2]]</f>
        <v>7.1375366313370089E-2</v>
      </c>
      <c r="X636" s="25" cm="1">
        <f t="array" ref="X6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6" s="26">
        <f>DURATION(Table1[[#This Row],[Issue date]],Table1[[#This Row],[Maturity date]],Table1[[#This Row],[Current coupon %]],Table1[[#This Row],[Yield (Annualised)]],Table1[[#This Row],[Coupon Frequency2]])</f>
        <v>4.3397572438581591</v>
      </c>
      <c r="Z636" s="26">
        <f>Table1[[#This Row],[Macaulay Duration in Years]]/(1+Table1[[#This Row],[IRR]])</f>
        <v>4.0506412414459128</v>
      </c>
      <c r="AA636" s="27">
        <f>VLOOKUP(Table1[[#This Row],[Yield Cluster]],'[1]Cluster Details'!$B$3:$C$16,2,0)</f>
        <v>7.8548801574189142E-2</v>
      </c>
      <c r="AB636" s="28">
        <f>PRICE(Table1[[#This Row],[Issue date]],Table1[[#This Row],[Maturity date]],Table1[[#This Row],[Current coupon %]],Table1[[#This Row],[Average Cluster Yield]],100,Table1[[#This Row],[Coupon Frequency2]])*Table1[[#This Row],[Face value]]/100</f>
        <v>995.79637377957192</v>
      </c>
      <c r="AC636" s="27" t="str">
        <f>IF(Table1[[#This Row],[Ask Price]]&gt;Table1[[#This Row],[Calculated Bond Price]],"Rich","Cheap")</f>
        <v>Rich</v>
      </c>
      <c r="AD636" s="28">
        <f>PRICE(Table1[[#This Row],[Issue date]],Table1[[#This Row],[Maturity date]],Table1[[#This Row],[Current coupon %]],Table1[[#This Row],[Yield (Annualised)]]+$AE$2,100,Table1[[#This Row],[Coupon Frequency2]])*Table1[[#This Row],[Face value]]/100</f>
        <v>984.58271370899672</v>
      </c>
      <c r="AE636" s="28">
        <f>PRICE(Table1[[#This Row],[Issue date]],Table1[[#This Row],[Maturity date]],Table1[[#This Row],[Current coupon %]],Table1[[#This Row],[Yield (Annualised)]]-$AE$2,100,Table1[[#This Row],[Coupon Frequency2]])*Table1[[#This Row],[Face value]]/100</f>
        <v>1067.6694380029357</v>
      </c>
      <c r="AF636" s="28">
        <f>(Table1[[#This Row],[P (+ shock)]]+Table1[[#This Row],[P (-shock)]]-2*Table1[[#This Row],[Ask Price]])/(2*Table1[[#This Row],[Ask Price]]*($AE$2^2))</f>
        <v>10.790773408970653</v>
      </c>
    </row>
    <row r="637" spans="1:32" x14ac:dyDescent="0.25">
      <c r="A637" s="21" t="s">
        <v>1318</v>
      </c>
      <c r="B637" s="3" t="s">
        <v>1319</v>
      </c>
      <c r="C637" s="3" t="s">
        <v>19</v>
      </c>
      <c r="D637" s="4">
        <v>41594</v>
      </c>
      <c r="E637" s="4">
        <v>47073</v>
      </c>
      <c r="F637" s="3">
        <v>1000</v>
      </c>
      <c r="G637" s="3" t="s">
        <v>20</v>
      </c>
      <c r="H637" s="3">
        <v>1165</v>
      </c>
      <c r="I637" s="3" t="s">
        <v>20</v>
      </c>
      <c r="J637" s="3">
        <v>116.5</v>
      </c>
      <c r="K637" s="3">
        <v>240</v>
      </c>
      <c r="L637" s="5">
        <v>8.7899999999999992E-2</v>
      </c>
      <c r="M637" s="3" t="s">
        <v>21</v>
      </c>
      <c r="N637" s="3">
        <v>1156</v>
      </c>
      <c r="O637" s="6">
        <f>Table1[[#This Row],[Current coupon %]]*Table1[[#This Row],[Face value]]/Table1[[#This Row],[Ask Price]]</f>
        <v>7.5450643776824033E-2</v>
      </c>
      <c r="P637" s="3" t="s">
        <v>54</v>
      </c>
      <c r="Q637" s="3" t="s">
        <v>22</v>
      </c>
      <c r="R637">
        <f t="shared" si="9"/>
        <v>15</v>
      </c>
      <c r="S637" s="22" cm="1">
        <f t="array" ref="S637">_xlfn.IFS(Table1[[#This Row],[Coupon frequency]]="Semi-annual",2,Table1[[#This Row],[Coupon frequency]]="Quarterly",4,Table1[[#This Row],[Coupon frequency]]="Annual",1,Table1[[#This Row],[Coupon frequency]]="Every 4 months",3,Table1[[#This Row],[Coupon frequency]]="Monthly",12)</f>
        <v>1</v>
      </c>
      <c r="T637">
        <f>Table1[[#This Row],[Term to Maturity (Years)]]*Table1[[#This Row],[Coupon Frequency2]]</f>
        <v>15</v>
      </c>
      <c r="U637">
        <f>Table1[[#This Row],[Face value]]*Table1[[#This Row],[Current coupon %]]/Table1[[#This Row],[Coupon Frequency2]]</f>
        <v>87.899999999999991</v>
      </c>
      <c r="V637" s="23">
        <f>RATE(Table1[[#This Row],[Total No. of Coupons]],Table1[[#This Row],[Coupon Amount]],-Table1[[#This Row],[Ask Price]],Table1[[#This Row],[Face value]])</f>
        <v>6.9806070835798789E-2</v>
      </c>
      <c r="W637" s="24">
        <f>Table1[[#This Row],[IRR]]*Table1[[#This Row],[Coupon Frequency2]]</f>
        <v>6.9806070835798789E-2</v>
      </c>
      <c r="X637" s="25" cm="1">
        <f t="array" ref="X6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7" s="26">
        <f>DURATION(Table1[[#This Row],[Issue date]],Table1[[#This Row],[Maturity date]],Table1[[#This Row],[Current coupon %]],Table1[[#This Row],[Yield (Annualised)]],Table1[[#This Row],[Coupon Frequency2]])</f>
        <v>9.3315855064722477</v>
      </c>
      <c r="Z637" s="26">
        <f>Table1[[#This Row],[Macaulay Duration in Years]]/(1+Table1[[#This Row],[IRR]])</f>
        <v>8.7226888693778246</v>
      </c>
      <c r="AA637" s="27">
        <f>VLOOKUP(Table1[[#This Row],[Yield Cluster]],'[1]Cluster Details'!$B$3:$C$16,2,0)</f>
        <v>7.8548801574189142E-2</v>
      </c>
      <c r="AB637" s="28">
        <f>PRICE(Table1[[#This Row],[Issue date]],Table1[[#This Row],[Maturity date]],Table1[[#This Row],[Current coupon %]],Table1[[#This Row],[Average Cluster Yield]],100,Table1[[#This Row],[Coupon Frequency2]])*Table1[[#This Row],[Face value]]/100</f>
        <v>1080.7555394616281</v>
      </c>
      <c r="AC637" s="27" t="str">
        <f>IF(Table1[[#This Row],[Ask Price]]&gt;Table1[[#This Row],[Calculated Bond Price]],"Rich","Cheap")</f>
        <v>Rich</v>
      </c>
      <c r="AD637" s="28">
        <f>PRICE(Table1[[#This Row],[Issue date]],Table1[[#This Row],[Maturity date]],Table1[[#This Row],[Current coupon %]],Table1[[#This Row],[Yield (Annualised)]]+$AE$2,100,Table1[[#This Row],[Coupon Frequency2]])*Table1[[#This Row],[Face value]]/100</f>
        <v>1069.36192586383</v>
      </c>
      <c r="AE637" s="28">
        <f>PRICE(Table1[[#This Row],[Issue date]],Table1[[#This Row],[Maturity date]],Table1[[#This Row],[Current coupon %]],Table1[[#This Row],[Yield (Annualised)]]-$AE$2,100,Table1[[#This Row],[Coupon Frequency2]])*Table1[[#This Row],[Face value]]/100</f>
        <v>1273.2013087947164</v>
      </c>
      <c r="AF637" s="28">
        <f>(Table1[[#This Row],[P (+ shock)]]+Table1[[#This Row],[P (-shock)]]-2*Table1[[#This Row],[Ask Price]])/(2*Table1[[#This Row],[Ask Price]]*($AE$2^2))</f>
        <v>53.919462053846381</v>
      </c>
    </row>
    <row r="638" spans="1:32" x14ac:dyDescent="0.25">
      <c r="A638" s="21" t="s">
        <v>1320</v>
      </c>
      <c r="B638" s="3" t="s">
        <v>1321</v>
      </c>
      <c r="C638" s="3" t="s">
        <v>19</v>
      </c>
      <c r="D638" s="4">
        <v>41590</v>
      </c>
      <c r="E638" s="4">
        <v>47069</v>
      </c>
      <c r="F638" s="3">
        <v>1000</v>
      </c>
      <c r="G638" s="3" t="s">
        <v>20</v>
      </c>
      <c r="H638" s="3">
        <v>1144</v>
      </c>
      <c r="I638" s="3" t="s">
        <v>20</v>
      </c>
      <c r="J638" s="3">
        <v>114.399999999999</v>
      </c>
      <c r="K638" s="3">
        <v>1000</v>
      </c>
      <c r="L638" s="5">
        <v>8.6300000000000002E-2</v>
      </c>
      <c r="M638" s="3" t="s">
        <v>21</v>
      </c>
      <c r="N638" s="3">
        <v>1152</v>
      </c>
      <c r="O638" s="6">
        <f>Table1[[#This Row],[Current coupon %]]*Table1[[#This Row],[Face value]]/Table1[[#This Row],[Ask Price]]</f>
        <v>7.543706293706294E-2</v>
      </c>
      <c r="P638" s="3" t="s">
        <v>54</v>
      </c>
      <c r="Q638" s="3" t="s">
        <v>22</v>
      </c>
      <c r="R638">
        <f t="shared" si="9"/>
        <v>15</v>
      </c>
      <c r="S638" s="22" cm="1">
        <f t="array" ref="S638">_xlfn.IFS(Table1[[#This Row],[Coupon frequency]]="Semi-annual",2,Table1[[#This Row],[Coupon frequency]]="Quarterly",4,Table1[[#This Row],[Coupon frequency]]="Annual",1,Table1[[#This Row],[Coupon frequency]]="Every 4 months",3,Table1[[#This Row],[Coupon frequency]]="Monthly",12)</f>
        <v>1</v>
      </c>
      <c r="T638">
        <f>Table1[[#This Row],[Term to Maturity (Years)]]*Table1[[#This Row],[Coupon Frequency2]]</f>
        <v>15</v>
      </c>
      <c r="U638">
        <f>Table1[[#This Row],[Face value]]*Table1[[#This Row],[Current coupon %]]/Table1[[#This Row],[Coupon Frequency2]]</f>
        <v>86.3</v>
      </c>
      <c r="V638" s="23">
        <f>RATE(Table1[[#This Row],[Total No. of Coupons]],Table1[[#This Row],[Coupon Amount]],-Table1[[#This Row],[Ask Price]],Table1[[#This Row],[Face value]])</f>
        <v>7.0445097143788382E-2</v>
      </c>
      <c r="W638" s="24">
        <f>Table1[[#This Row],[IRR]]*Table1[[#This Row],[Coupon Frequency2]]</f>
        <v>7.0445097143788382E-2</v>
      </c>
      <c r="X638" s="25" cm="1">
        <f t="array" ref="X6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8" s="26">
        <f>DURATION(Table1[[#This Row],[Issue date]],Table1[[#This Row],[Maturity date]],Table1[[#This Row],[Current coupon %]],Table1[[#This Row],[Yield (Annualised)]],Table1[[#This Row],[Coupon Frequency2]])</f>
        <v>9.3481682530564676</v>
      </c>
      <c r="Z638" s="26">
        <f>Table1[[#This Row],[Macaulay Duration in Years]]/(1+Table1[[#This Row],[IRR]])</f>
        <v>8.732973113707267</v>
      </c>
      <c r="AA638" s="27">
        <f>VLOOKUP(Table1[[#This Row],[Yield Cluster]],'[1]Cluster Details'!$B$3:$C$16,2,0)</f>
        <v>7.8548801574189142E-2</v>
      </c>
      <c r="AB638" s="28">
        <f>PRICE(Table1[[#This Row],[Issue date]],Table1[[#This Row],[Maturity date]],Table1[[#This Row],[Current coupon %]],Table1[[#This Row],[Average Cluster Yield]],100,Table1[[#This Row],[Coupon Frequency2]])*Table1[[#This Row],[Face value]]/100</f>
        <v>1066.9381807387115</v>
      </c>
      <c r="AC638" s="27" t="str">
        <f>IF(Table1[[#This Row],[Ask Price]]&gt;Table1[[#This Row],[Calculated Bond Price]],"Rich","Cheap")</f>
        <v>Rich</v>
      </c>
      <c r="AD638" s="28">
        <f>PRICE(Table1[[#This Row],[Issue date]],Table1[[#This Row],[Maturity date]],Table1[[#This Row],[Current coupon %]],Table1[[#This Row],[Yield (Annualised)]]+$AE$2,100,Table1[[#This Row],[Coupon Frequency2]])*Table1[[#This Row],[Face value]]/100</f>
        <v>1049.9790031914113</v>
      </c>
      <c r="AE638" s="28">
        <f>PRICE(Table1[[#This Row],[Issue date]],Table1[[#This Row],[Maturity date]],Table1[[#This Row],[Current coupon %]],Table1[[#This Row],[Yield (Annualised)]]-$AE$2,100,Table1[[#This Row],[Coupon Frequency2]])*Table1[[#This Row],[Face value]]/100</f>
        <v>1250.3805788723398</v>
      </c>
      <c r="AF638" s="28">
        <f>(Table1[[#This Row],[P (+ shock)]]+Table1[[#This Row],[P (-shock)]]-2*Table1[[#This Row],[Ask Price]])/(2*Table1[[#This Row],[Ask Price]]*($AE$2^2))</f>
        <v>54.019152376534429</v>
      </c>
    </row>
    <row r="639" spans="1:32" x14ac:dyDescent="0.25">
      <c r="A639" s="21" t="s">
        <v>1322</v>
      </c>
      <c r="B639" s="3" t="s">
        <v>1323</v>
      </c>
      <c r="C639" s="3" t="s">
        <v>19</v>
      </c>
      <c r="D639" s="4">
        <v>41541</v>
      </c>
      <c r="E639" s="4">
        <v>47020</v>
      </c>
      <c r="F639" s="3">
        <v>1000</v>
      </c>
      <c r="G639" s="3" t="s">
        <v>20</v>
      </c>
      <c r="H639" s="3">
        <v>1154.74</v>
      </c>
      <c r="I639" s="3" t="s">
        <v>20</v>
      </c>
      <c r="J639" s="3">
        <v>115.474</v>
      </c>
      <c r="K639" s="3">
        <v>32</v>
      </c>
      <c r="L639" s="5">
        <v>8.7100000000000011E-2</v>
      </c>
      <c r="M639" s="3" t="s">
        <v>21</v>
      </c>
      <c r="N639" s="3">
        <v>1103</v>
      </c>
      <c r="O639" s="6">
        <f>Table1[[#This Row],[Current coupon %]]*Table1[[#This Row],[Face value]]/Table1[[#This Row],[Ask Price]]</f>
        <v>7.5428234927342963E-2</v>
      </c>
      <c r="P639" s="3"/>
      <c r="Q639" s="3" t="s">
        <v>22</v>
      </c>
      <c r="R639">
        <f t="shared" si="9"/>
        <v>15</v>
      </c>
      <c r="S639" s="22" cm="1">
        <f t="array" ref="S639">_xlfn.IFS(Table1[[#This Row],[Coupon frequency]]="Semi-annual",2,Table1[[#This Row],[Coupon frequency]]="Quarterly",4,Table1[[#This Row],[Coupon frequency]]="Annual",1,Table1[[#This Row],[Coupon frequency]]="Every 4 months",3,Table1[[#This Row],[Coupon frequency]]="Monthly",12)</f>
        <v>1</v>
      </c>
      <c r="T639">
        <f>Table1[[#This Row],[Term to Maturity (Years)]]*Table1[[#This Row],[Coupon Frequency2]]</f>
        <v>15</v>
      </c>
      <c r="U639">
        <f>Table1[[#This Row],[Face value]]*Table1[[#This Row],[Current coupon %]]/Table1[[#This Row],[Coupon Frequency2]]</f>
        <v>87.100000000000009</v>
      </c>
      <c r="V639" s="23">
        <f>RATE(Table1[[#This Row],[Total No. of Coupons]],Table1[[#This Row],[Coupon Amount]],-Table1[[#This Row],[Ask Price]],Table1[[#This Row],[Face value]])</f>
        <v>7.0099681472141115E-2</v>
      </c>
      <c r="W639" s="24">
        <f>Table1[[#This Row],[IRR]]*Table1[[#This Row],[Coupon Frequency2]]</f>
        <v>7.0099681472141115E-2</v>
      </c>
      <c r="X639" s="25" cm="1">
        <f t="array" ref="X6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39" s="26">
        <f>DURATION(Table1[[#This Row],[Issue date]],Table1[[#This Row],[Maturity date]],Table1[[#This Row],[Current coupon %]],Table1[[#This Row],[Yield (Annualised)]],Table1[[#This Row],[Coupon Frequency2]])</f>
        <v>9.3404275526978022</v>
      </c>
      <c r="Z639" s="26">
        <f>Table1[[#This Row],[Macaulay Duration in Years]]/(1+Table1[[#This Row],[IRR]])</f>
        <v>8.7285583898577865</v>
      </c>
      <c r="AA639" s="27">
        <f>VLOOKUP(Table1[[#This Row],[Yield Cluster]],'[1]Cluster Details'!$B$3:$C$16,2,0)</f>
        <v>7.8548801574189142E-2</v>
      </c>
      <c r="AB639" s="28">
        <f>PRICE(Table1[[#This Row],[Issue date]],Table1[[#This Row],[Maturity date]],Table1[[#This Row],[Current coupon %]],Table1[[#This Row],[Average Cluster Yield]],100,Table1[[#This Row],[Coupon Frequency2]])*Table1[[#This Row],[Face value]]/100</f>
        <v>1073.8468601001698</v>
      </c>
      <c r="AC639" s="27" t="str">
        <f>IF(Table1[[#This Row],[Ask Price]]&gt;Table1[[#This Row],[Calculated Bond Price]],"Rich","Cheap")</f>
        <v>Rich</v>
      </c>
      <c r="AD639" s="28">
        <f>PRICE(Table1[[#This Row],[Issue date]],Table1[[#This Row],[Maturity date]],Table1[[#This Row],[Current coupon %]],Table1[[#This Row],[Yield (Annualised)]]+$AE$2,100,Table1[[#This Row],[Coupon Frequency2]])*Table1[[#This Row],[Face value]]/100</f>
        <v>1059.8826245430857</v>
      </c>
      <c r="AE639" s="28">
        <f>PRICE(Table1[[#This Row],[Issue date]],Table1[[#This Row],[Maturity date]],Table1[[#This Row],[Current coupon %]],Table1[[#This Row],[Yield (Annualised)]]-$AE$2,100,Table1[[#This Row],[Coupon Frequency2]])*Table1[[#This Row],[Face value]]/100</f>
        <v>1262.0631045343605</v>
      </c>
      <c r="AF639" s="28">
        <f>(Table1[[#This Row],[P (+ shock)]]+Table1[[#This Row],[P (-shock)]]-2*Table1[[#This Row],[Ask Price]])/(2*Table1[[#This Row],[Ask Price]]*($AE$2^2))</f>
        <v>53.976345659829107</v>
      </c>
    </row>
    <row r="640" spans="1:32" x14ac:dyDescent="0.25">
      <c r="A640" s="21" t="s">
        <v>1324</v>
      </c>
      <c r="B640" s="3" t="s">
        <v>1325</v>
      </c>
      <c r="C640" s="3" t="s">
        <v>19</v>
      </c>
      <c r="D640" s="4">
        <v>44974</v>
      </c>
      <c r="E640" s="4">
        <v>48627</v>
      </c>
      <c r="F640" s="3">
        <v>100000</v>
      </c>
      <c r="G640" s="3" t="s">
        <v>20</v>
      </c>
      <c r="H640" s="3">
        <v>105734</v>
      </c>
      <c r="I640" s="3" t="s">
        <v>20</v>
      </c>
      <c r="J640" s="3">
        <v>105.73399999999999</v>
      </c>
      <c r="K640" s="3">
        <v>10</v>
      </c>
      <c r="L640" s="5">
        <v>7.9699999999999993E-2</v>
      </c>
      <c r="M640" s="3" t="s">
        <v>21</v>
      </c>
      <c r="N640" s="3">
        <v>2710</v>
      </c>
      <c r="O640" s="6">
        <f>Table1[[#This Row],[Current coupon %]]*Table1[[#This Row],[Face value]]/Table1[[#This Row],[Ask Price]]</f>
        <v>7.5377834944294161E-2</v>
      </c>
      <c r="P640" s="3" t="s">
        <v>297</v>
      </c>
      <c r="Q640" s="3" t="s">
        <v>22</v>
      </c>
      <c r="R640">
        <f t="shared" si="9"/>
        <v>10</v>
      </c>
      <c r="S640" s="22" cm="1">
        <f t="array" ref="S640">_xlfn.IFS(Table1[[#This Row],[Coupon frequency]]="Semi-annual",2,Table1[[#This Row],[Coupon frequency]]="Quarterly",4,Table1[[#This Row],[Coupon frequency]]="Annual",1,Table1[[#This Row],[Coupon frequency]]="Every 4 months",3,Table1[[#This Row],[Coupon frequency]]="Monthly",12)</f>
        <v>1</v>
      </c>
      <c r="T640">
        <f>Table1[[#This Row],[Term to Maturity (Years)]]*Table1[[#This Row],[Coupon Frequency2]]</f>
        <v>10</v>
      </c>
      <c r="U640">
        <f>Table1[[#This Row],[Face value]]*Table1[[#This Row],[Current coupon %]]/Table1[[#This Row],[Coupon Frequency2]]</f>
        <v>7969.9999999999991</v>
      </c>
      <c r="V640" s="23">
        <f>RATE(Table1[[#This Row],[Total No. of Coupons]],Table1[[#This Row],[Coupon Amount]],-Table1[[#This Row],[Ask Price]],Table1[[#This Row],[Face value]])</f>
        <v>7.1480127986138425E-2</v>
      </c>
      <c r="W640" s="24">
        <f>Table1[[#This Row],[IRR]]*Table1[[#This Row],[Coupon Frequency2]]</f>
        <v>7.1480127986138425E-2</v>
      </c>
      <c r="X640" s="25" cm="1">
        <f t="array" ref="X6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0" s="26">
        <f>DURATION(Table1[[#This Row],[Issue date]],Table1[[#This Row],[Maturity date]],Table1[[#This Row],[Current coupon %]],Table1[[#This Row],[Yield (Annualised)]],Table1[[#This Row],[Coupon Frequency2]])</f>
        <v>7.336690310922898</v>
      </c>
      <c r="Z640" s="26">
        <f>Table1[[#This Row],[Macaulay Duration in Years]]/(1+Table1[[#This Row],[IRR]])</f>
        <v>6.8472481376881049</v>
      </c>
      <c r="AA640" s="27">
        <f>VLOOKUP(Table1[[#This Row],[Yield Cluster]],'[1]Cluster Details'!$B$3:$C$16,2,0)</f>
        <v>7.8548801574189142E-2</v>
      </c>
      <c r="AB640" s="28">
        <f>PRICE(Table1[[#This Row],[Issue date]],Table1[[#This Row],[Maturity date]],Table1[[#This Row],[Current coupon %]],Table1[[#This Row],[Average Cluster Yield]],100,Table1[[#This Row],[Coupon Frequency2]])*Table1[[#This Row],[Face value]]/100</f>
        <v>100777.54538589323</v>
      </c>
      <c r="AC640" s="27" t="str">
        <f>IF(Table1[[#This Row],[Ask Price]]&gt;Table1[[#This Row],[Calculated Bond Price]],"Rich","Cheap")</f>
        <v>Rich</v>
      </c>
      <c r="AD640" s="28">
        <f>PRICE(Table1[[#This Row],[Issue date]],Table1[[#This Row],[Maturity date]],Table1[[#This Row],[Current coupon %]],Table1[[#This Row],[Yield (Annualised)]]+$AE$2,100,Table1[[#This Row],[Coupon Frequency2]])*Table1[[#This Row],[Face value]]/100</f>
        <v>98813.453187492967</v>
      </c>
      <c r="AE640" s="28">
        <f>PRICE(Table1[[#This Row],[Issue date]],Table1[[#This Row],[Maturity date]],Table1[[#This Row],[Current coupon %]],Table1[[#This Row],[Yield (Annualised)]]-$AE$2,100,Table1[[#This Row],[Coupon Frequency2]])*Table1[[#This Row],[Face value]]/100</f>
        <v>113316.44655637871</v>
      </c>
      <c r="AF640" s="28">
        <f>(Table1[[#This Row],[P (+ shock)]]+Table1[[#This Row],[P (-shock)]]-2*Table1[[#This Row],[Ask Price]])/(2*Table1[[#This Row],[Ask Price]]*($AE$2^2))</f>
        <v>31.300231896630979</v>
      </c>
    </row>
    <row r="641" spans="1:32" x14ac:dyDescent="0.25">
      <c r="A641" s="21" t="s">
        <v>1326</v>
      </c>
      <c r="B641" s="3" t="s">
        <v>1327</v>
      </c>
      <c r="C641" s="3" t="s">
        <v>19</v>
      </c>
      <c r="D641" s="4">
        <v>41722</v>
      </c>
      <c r="E641" s="4">
        <v>47201</v>
      </c>
      <c r="F641" s="3">
        <v>1000</v>
      </c>
      <c r="G641" s="3" t="s">
        <v>20</v>
      </c>
      <c r="H641" s="3">
        <v>1149.0999999999999</v>
      </c>
      <c r="I641" s="3" t="s">
        <v>20</v>
      </c>
      <c r="J641" s="3">
        <v>114.91</v>
      </c>
      <c r="K641" s="3">
        <v>55</v>
      </c>
      <c r="L641" s="5">
        <v>8.6300000000000002E-2</v>
      </c>
      <c r="M641" s="3" t="s">
        <v>21</v>
      </c>
      <c r="N641" s="3">
        <v>1284</v>
      </c>
      <c r="O641" s="6">
        <f>Table1[[#This Row],[Current coupon %]]*Table1[[#This Row],[Face value]]/Table1[[#This Row],[Ask Price]]</f>
        <v>7.5102253937864419E-2</v>
      </c>
      <c r="P641" s="3"/>
      <c r="Q641" s="3" t="s">
        <v>22</v>
      </c>
      <c r="R641">
        <f t="shared" si="9"/>
        <v>15</v>
      </c>
      <c r="S641" s="22" cm="1">
        <f t="array" ref="S641">_xlfn.IFS(Table1[[#This Row],[Coupon frequency]]="Semi-annual",2,Table1[[#This Row],[Coupon frequency]]="Quarterly",4,Table1[[#This Row],[Coupon frequency]]="Annual",1,Table1[[#This Row],[Coupon frequency]]="Every 4 months",3,Table1[[#This Row],[Coupon frequency]]="Monthly",12)</f>
        <v>1</v>
      </c>
      <c r="T641">
        <f>Table1[[#This Row],[Term to Maturity (Years)]]*Table1[[#This Row],[Coupon Frequency2]]</f>
        <v>15</v>
      </c>
      <c r="U641">
        <f>Table1[[#This Row],[Face value]]*Table1[[#This Row],[Current coupon %]]/Table1[[#This Row],[Coupon Frequency2]]</f>
        <v>86.3</v>
      </c>
      <c r="V641" s="23">
        <f>RATE(Table1[[#This Row],[Total No. of Coupons]],Table1[[#This Row],[Coupon Amount]],-Table1[[#This Row],[Ask Price]],Table1[[#This Row],[Face value]])</f>
        <v>6.9936215980122077E-2</v>
      </c>
      <c r="W641" s="24">
        <f>Table1[[#This Row],[IRR]]*Table1[[#This Row],[Coupon Frequency2]]</f>
        <v>6.9936215980122077E-2</v>
      </c>
      <c r="X641" s="25" cm="1">
        <f t="array" ref="X6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1" s="26">
        <f>DURATION(Table1[[#This Row],[Issue date]],Table1[[#This Row],[Maturity date]],Table1[[#This Row],[Current coupon %]],Table1[[#This Row],[Yield (Annualised)]],Table1[[#This Row],[Coupon Frequency2]])</f>
        <v>9.3609203773564964</v>
      </c>
      <c r="Z641" s="26">
        <f>Table1[[#This Row],[Macaulay Duration in Years]]/(1+Table1[[#This Row],[IRR]])</f>
        <v>8.7490452585356824</v>
      </c>
      <c r="AA641" s="27">
        <f>VLOOKUP(Table1[[#This Row],[Yield Cluster]],'[1]Cluster Details'!$B$3:$C$16,2,0)</f>
        <v>7.8548801574189142E-2</v>
      </c>
      <c r="AB641" s="28">
        <f>PRICE(Table1[[#This Row],[Issue date]],Table1[[#This Row],[Maturity date]],Table1[[#This Row],[Current coupon %]],Table1[[#This Row],[Average Cluster Yield]],100,Table1[[#This Row],[Coupon Frequency2]])*Table1[[#This Row],[Face value]]/100</f>
        <v>1066.9381807387115</v>
      </c>
      <c r="AC641" s="27" t="str">
        <f>IF(Table1[[#This Row],[Ask Price]]&gt;Table1[[#This Row],[Calculated Bond Price]],"Rich","Cheap")</f>
        <v>Rich</v>
      </c>
      <c r="AD641" s="28">
        <f>PRICE(Table1[[#This Row],[Issue date]],Table1[[#This Row],[Maturity date]],Table1[[#This Row],[Current coupon %]],Table1[[#This Row],[Yield (Annualised)]]+$AE$2,100,Table1[[#This Row],[Coupon Frequency2]])*Table1[[#This Row],[Face value]]/100</f>
        <v>1054.4918944823812</v>
      </c>
      <c r="AE641" s="28">
        <f>PRICE(Table1[[#This Row],[Issue date]],Table1[[#This Row],[Maturity date]],Table1[[#This Row],[Current coupon %]],Table1[[#This Row],[Yield (Annualised)]]-$AE$2,100,Table1[[#This Row],[Coupon Frequency2]])*Table1[[#This Row],[Face value]]/100</f>
        <v>1256.1583807608711</v>
      </c>
      <c r="AF641" s="28">
        <f>(Table1[[#This Row],[P (+ shock)]]+Table1[[#This Row],[P (-shock)]]-2*Table1[[#This Row],[Ask Price]])/(2*Table1[[#This Row],[Ask Price]]*($AE$2^2))</f>
        <v>54.174028558231186</v>
      </c>
    </row>
    <row r="642" spans="1:32" x14ac:dyDescent="0.25">
      <c r="A642" s="21" t="s">
        <v>1328</v>
      </c>
      <c r="B642" s="3" t="s">
        <v>1329</v>
      </c>
      <c r="C642" s="3" t="s">
        <v>19</v>
      </c>
      <c r="D642" s="4">
        <v>41516</v>
      </c>
      <c r="E642" s="4">
        <v>46995</v>
      </c>
      <c r="F642" s="3">
        <v>1000000</v>
      </c>
      <c r="G642" s="3" t="s">
        <v>20</v>
      </c>
      <c r="H642" s="3">
        <v>1127649</v>
      </c>
      <c r="I642" s="3" t="s">
        <v>20</v>
      </c>
      <c r="J642" s="3">
        <v>112.764899999999</v>
      </c>
      <c r="K642" s="3">
        <v>1</v>
      </c>
      <c r="L642" s="5">
        <v>8.4600000000000009E-2</v>
      </c>
      <c r="M642" s="3" t="s">
        <v>21</v>
      </c>
      <c r="N642" s="3">
        <v>1078</v>
      </c>
      <c r="O642" s="6">
        <f>Table1[[#This Row],[Current coupon %]]*Table1[[#This Row],[Face value]]/Table1[[#This Row],[Ask Price]]</f>
        <v>7.5023345030235486E-2</v>
      </c>
      <c r="P642" s="3" t="s">
        <v>54</v>
      </c>
      <c r="Q642" s="3" t="s">
        <v>22</v>
      </c>
      <c r="R642">
        <f t="shared" si="9"/>
        <v>15</v>
      </c>
      <c r="S642" s="22" cm="1">
        <f t="array" ref="S642">_xlfn.IFS(Table1[[#This Row],[Coupon frequency]]="Semi-annual",2,Table1[[#This Row],[Coupon frequency]]="Quarterly",4,Table1[[#This Row],[Coupon frequency]]="Annual",1,Table1[[#This Row],[Coupon frequency]]="Every 4 months",3,Table1[[#This Row],[Coupon frequency]]="Monthly",12)</f>
        <v>1</v>
      </c>
      <c r="T642">
        <f>Table1[[#This Row],[Term to Maturity (Years)]]*Table1[[#This Row],[Coupon Frequency2]]</f>
        <v>15</v>
      </c>
      <c r="U642">
        <f>Table1[[#This Row],[Face value]]*Table1[[#This Row],[Current coupon %]]/Table1[[#This Row],[Coupon Frequency2]]</f>
        <v>84600.000000000015</v>
      </c>
      <c r="V642" s="23">
        <f>RATE(Table1[[#This Row],[Total No. of Coupons]],Table1[[#This Row],[Coupon Amount]],-Table1[[#This Row],[Ask Price]],Table1[[#This Row],[Face value]])</f>
        <v>7.0537231678201626E-2</v>
      </c>
      <c r="W642" s="24">
        <f>Table1[[#This Row],[IRR]]*Table1[[#This Row],[Coupon Frequency2]]</f>
        <v>7.0537231678201626E-2</v>
      </c>
      <c r="X642" s="25" cm="1">
        <f t="array" ref="X6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2" s="26">
        <f>DURATION(Table1[[#This Row],[Issue date]],Table1[[#This Row],[Maturity date]],Table1[[#This Row],[Current coupon %]],Table1[[#This Row],[Yield (Annualised)]],Table1[[#This Row],[Coupon Frequency2]])</f>
        <v>9.3813900524254166</v>
      </c>
      <c r="Z642" s="26">
        <f>Table1[[#This Row],[Macaulay Duration in Years]]/(1+Table1[[#This Row],[IRR]])</f>
        <v>8.7632543500788938</v>
      </c>
      <c r="AA642" s="27">
        <f>VLOOKUP(Table1[[#This Row],[Yield Cluster]],'[1]Cluster Details'!$B$3:$C$16,2,0)</f>
        <v>7.8548801574189142E-2</v>
      </c>
      <c r="AB642" s="28">
        <f>PRICE(Table1[[#This Row],[Issue date]],Table1[[#This Row],[Maturity date]],Table1[[#This Row],[Current coupon %]],Table1[[#This Row],[Average Cluster Yield]],100,Table1[[#This Row],[Coupon Frequency2]])*Table1[[#This Row],[Face value]]/100</f>
        <v>1052257.2370956123</v>
      </c>
      <c r="AC642" s="27" t="str">
        <f>IF(Table1[[#This Row],[Ask Price]]&gt;Table1[[#This Row],[Calculated Bond Price]],"Rich","Cheap")</f>
        <v>Rich</v>
      </c>
      <c r="AD642" s="28">
        <f>PRICE(Table1[[#This Row],[Issue date]],Table1[[#This Row],[Maturity date]],Table1[[#This Row],[Current coupon %]],Table1[[#This Row],[Yield (Annualised)]]+$AE$2,100,Table1[[#This Row],[Coupon Frequency2]])*Table1[[#This Row],[Face value]]/100</f>
        <v>1034661.3949816263</v>
      </c>
      <c r="AE642" s="28">
        <f>PRICE(Table1[[#This Row],[Issue date]],Table1[[#This Row],[Maturity date]],Table1[[#This Row],[Current coupon %]],Table1[[#This Row],[Yield (Annualised)]]-$AE$2,100,Table1[[#This Row],[Coupon Frequency2]])*Table1[[#This Row],[Face value]]/100</f>
        <v>1232885.4241292055</v>
      </c>
      <c r="AF642" s="28">
        <f>(Table1[[#This Row],[P (+ shock)]]+Table1[[#This Row],[P (-shock)]]-2*Table1[[#This Row],[Ask Price]])/(2*Table1[[#This Row],[Ask Price]]*($AE$2^2))</f>
        <v>54.311311014472189</v>
      </c>
    </row>
    <row r="643" spans="1:32" x14ac:dyDescent="0.25">
      <c r="A643" s="21" t="s">
        <v>1330</v>
      </c>
      <c r="B643" s="3" t="s">
        <v>1331</v>
      </c>
      <c r="C643" s="3" t="s">
        <v>19</v>
      </c>
      <c r="D643" s="4">
        <v>43370</v>
      </c>
      <c r="E643" s="4">
        <v>47023</v>
      </c>
      <c r="F643" s="3">
        <v>1000</v>
      </c>
      <c r="G643" s="3" t="s">
        <v>20</v>
      </c>
      <c r="H643" s="3">
        <v>1200</v>
      </c>
      <c r="I643" s="3" t="s">
        <v>20</v>
      </c>
      <c r="J643" s="3">
        <v>120</v>
      </c>
      <c r="K643" s="3">
        <v>18</v>
      </c>
      <c r="L643" s="5">
        <v>0.09</v>
      </c>
      <c r="M643" s="3" t="s">
        <v>21</v>
      </c>
      <c r="N643" s="3">
        <v>1106</v>
      </c>
      <c r="O643" s="6">
        <f>Table1[[#This Row],[Current coupon %]]*Table1[[#This Row],[Face value]]/Table1[[#This Row],[Ask Price]]</f>
        <v>7.4999999999999997E-2</v>
      </c>
      <c r="P643" s="3"/>
      <c r="Q643" s="3" t="s">
        <v>22</v>
      </c>
      <c r="R643">
        <f t="shared" si="9"/>
        <v>10</v>
      </c>
      <c r="S643" s="22" cm="1">
        <f t="array" ref="S643">_xlfn.IFS(Table1[[#This Row],[Coupon frequency]]="Semi-annual",2,Table1[[#This Row],[Coupon frequency]]="Quarterly",4,Table1[[#This Row],[Coupon frequency]]="Annual",1,Table1[[#This Row],[Coupon frequency]]="Every 4 months",3,Table1[[#This Row],[Coupon frequency]]="Monthly",12)</f>
        <v>1</v>
      </c>
      <c r="T643">
        <f>Table1[[#This Row],[Term to Maturity (Years)]]*Table1[[#This Row],[Coupon Frequency2]]</f>
        <v>10</v>
      </c>
      <c r="U643">
        <f>Table1[[#This Row],[Face value]]*Table1[[#This Row],[Current coupon %]]/Table1[[#This Row],[Coupon Frequency2]]</f>
        <v>90</v>
      </c>
      <c r="V643" s="23">
        <f>RATE(Table1[[#This Row],[Total No. of Coupons]],Table1[[#This Row],[Coupon Amount]],-Table1[[#This Row],[Ask Price]],Table1[[#This Row],[Face value]])</f>
        <v>6.2503225403191268E-2</v>
      </c>
      <c r="W643" s="24">
        <f>Table1[[#This Row],[IRR]]*Table1[[#This Row],[Coupon Frequency2]]</f>
        <v>6.2503225403191268E-2</v>
      </c>
      <c r="X643" s="25" cm="1">
        <f t="array" ref="X6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3" s="26">
        <f>DURATION(Table1[[#This Row],[Issue date]],Table1[[#This Row],[Maturity date]],Table1[[#This Row],[Current coupon %]],Table1[[#This Row],[Yield (Annualised)]],Table1[[#This Row],[Coupon Frequency2]])</f>
        <v>7.2739838065660587</v>
      </c>
      <c r="Z643" s="26">
        <f>Table1[[#This Row],[Macaulay Duration in Years]]/(1+Table1[[#This Row],[IRR]])</f>
        <v>6.8460816237106279</v>
      </c>
      <c r="AA643" s="27">
        <f>VLOOKUP(Table1[[#This Row],[Yield Cluster]],'[1]Cluster Details'!$B$3:$C$16,2,0)</f>
        <v>7.8548801574189142E-2</v>
      </c>
      <c r="AB643" s="28">
        <f>PRICE(Table1[[#This Row],[Issue date]],Table1[[#This Row],[Maturity date]],Table1[[#This Row],[Current coupon %]],Table1[[#This Row],[Average Cluster Yield]],100,Table1[[#This Row],[Coupon Frequency2]])*Table1[[#This Row],[Face value]]/100</f>
        <v>1077.3439773657171</v>
      </c>
      <c r="AC643" s="27" t="str">
        <f>IF(Table1[[#This Row],[Ask Price]]&gt;Table1[[#This Row],[Calculated Bond Price]],"Rich","Cheap")</f>
        <v>Rich</v>
      </c>
      <c r="AD643" s="28">
        <f>PRICE(Table1[[#This Row],[Issue date]],Table1[[#This Row],[Maturity date]],Table1[[#This Row],[Current coupon %]],Table1[[#This Row],[Yield (Annualised)]]+$AE$2,100,Table1[[#This Row],[Coupon Frequency2]])*Table1[[#This Row],[Face value]]/100</f>
        <v>1121.4805537815291</v>
      </c>
      <c r="AE643" s="28">
        <f>PRICE(Table1[[#This Row],[Issue date]],Table1[[#This Row],[Maturity date]],Table1[[#This Row],[Current coupon %]],Table1[[#This Row],[Yield (Annualised)]]-$AE$2,100,Table1[[#This Row],[Coupon Frequency2]])*Table1[[#This Row],[Face value]]/100</f>
        <v>1286.0524586671806</v>
      </c>
      <c r="AF643" s="28">
        <f>(Table1[[#This Row],[P (+ shock)]]+Table1[[#This Row],[P (-shock)]]-2*Table1[[#This Row],[Ask Price]])/(2*Table1[[#This Row],[Ask Price]]*($AE$2^2))</f>
        <v>31.387551869624982</v>
      </c>
    </row>
    <row r="644" spans="1:32" x14ac:dyDescent="0.25">
      <c r="A644" s="21" t="s">
        <v>1332</v>
      </c>
      <c r="B644" s="3" t="s">
        <v>1333</v>
      </c>
      <c r="C644" s="3" t="s">
        <v>19</v>
      </c>
      <c r="D644" s="4">
        <v>41688</v>
      </c>
      <c r="E644" s="4">
        <v>47167</v>
      </c>
      <c r="F644" s="3">
        <v>1000</v>
      </c>
      <c r="G644" s="3" t="s">
        <v>20</v>
      </c>
      <c r="H644" s="3">
        <v>1120</v>
      </c>
      <c r="I644" s="3" t="s">
        <v>20</v>
      </c>
      <c r="J644" s="3">
        <v>112</v>
      </c>
      <c r="K644" s="3">
        <v>20</v>
      </c>
      <c r="L644" s="5">
        <v>8.4000000000000005E-2</v>
      </c>
      <c r="M644" s="3" t="s">
        <v>21</v>
      </c>
      <c r="N644" s="3">
        <v>1250</v>
      </c>
      <c r="O644" s="6">
        <f>Table1[[#This Row],[Current coupon %]]*Table1[[#This Row],[Face value]]/Table1[[#This Row],[Ask Price]]</f>
        <v>7.4999999999999997E-2</v>
      </c>
      <c r="P644" s="3" t="s">
        <v>297</v>
      </c>
      <c r="Q644" s="3" t="s">
        <v>22</v>
      </c>
      <c r="R644">
        <f t="shared" ref="R644:R707" si="10">ROUND(YEARFRAC(D644,E644),0)</f>
        <v>15</v>
      </c>
      <c r="S644" s="22" cm="1">
        <f t="array" ref="S644">_xlfn.IFS(Table1[[#This Row],[Coupon frequency]]="Semi-annual",2,Table1[[#This Row],[Coupon frequency]]="Quarterly",4,Table1[[#This Row],[Coupon frequency]]="Annual",1,Table1[[#This Row],[Coupon frequency]]="Every 4 months",3,Table1[[#This Row],[Coupon frequency]]="Monthly",12)</f>
        <v>1</v>
      </c>
      <c r="T644">
        <f>Table1[[#This Row],[Term to Maturity (Years)]]*Table1[[#This Row],[Coupon Frequency2]]</f>
        <v>15</v>
      </c>
      <c r="U644">
        <f>Table1[[#This Row],[Face value]]*Table1[[#This Row],[Current coupon %]]/Table1[[#This Row],[Coupon Frequency2]]</f>
        <v>84</v>
      </c>
      <c r="V644" s="23">
        <f>RATE(Table1[[#This Row],[Total No. of Coupons]],Table1[[#This Row],[Coupon Amount]],-Table1[[#This Row],[Ask Price]],Table1[[#This Row],[Face value]])</f>
        <v>7.0761226951251116E-2</v>
      </c>
      <c r="W644" s="24">
        <f>Table1[[#This Row],[IRR]]*Table1[[#This Row],[Coupon Frequency2]]</f>
        <v>7.0761226951251116E-2</v>
      </c>
      <c r="X644" s="25" cm="1">
        <f t="array" ref="X6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4" s="26">
        <f>DURATION(Table1[[#This Row],[Issue date]],Table1[[#This Row],[Maturity date]],Table1[[#This Row],[Current coupon %]],Table1[[#This Row],[Yield (Annualised)]],Table1[[#This Row],[Coupon Frequency2]])</f>
        <v>9.3885412947085847</v>
      </c>
      <c r="Z644" s="26">
        <f>Table1[[#This Row],[Macaulay Duration in Years]]/(1+Table1[[#This Row],[IRR]])</f>
        <v>8.7680997951712527</v>
      </c>
      <c r="AA644" s="27">
        <f>VLOOKUP(Table1[[#This Row],[Yield Cluster]],'[1]Cluster Details'!$B$3:$C$16,2,0)</f>
        <v>7.8548801574189142E-2</v>
      </c>
      <c r="AB644" s="28">
        <f>PRICE(Table1[[#This Row],[Issue date]],Table1[[#This Row],[Maturity date]],Table1[[#This Row],[Current coupon %]],Table1[[#This Row],[Average Cluster Yield]],100,Table1[[#This Row],[Coupon Frequency2]])*Table1[[#This Row],[Face value]]/100</f>
        <v>1047.0757275745182</v>
      </c>
      <c r="AC644" s="27" t="str">
        <f>IF(Table1[[#This Row],[Ask Price]]&gt;Table1[[#This Row],[Calculated Bond Price]],"Rich","Cheap")</f>
        <v>Rich</v>
      </c>
      <c r="AD644" s="28">
        <f>PRICE(Table1[[#This Row],[Issue date]],Table1[[#This Row],[Maturity date]],Table1[[#This Row],[Current coupon %]],Table1[[#This Row],[Yield (Annualised)]]+$AE$2,100,Table1[[#This Row],[Coupon Frequency2]])*Table1[[#This Row],[Face value]]/100</f>
        <v>1027.5938188667894</v>
      </c>
      <c r="AE644" s="28">
        <f>PRICE(Table1[[#This Row],[Issue date]],Table1[[#This Row],[Maturity date]],Table1[[#This Row],[Current coupon %]],Table1[[#This Row],[Yield (Annualised)]]-$AE$2,100,Table1[[#This Row],[Coupon Frequency2]])*Table1[[#This Row],[Face value]]/100</f>
        <v>1224.5823849559447</v>
      </c>
      <c r="AF644" s="28">
        <f>(Table1[[#This Row],[P (+ shock)]]+Table1[[#This Row],[P (-shock)]]-2*Table1[[#This Row],[Ask Price]])/(2*Table1[[#This Row],[Ask Price]]*($AE$2^2))</f>
        <v>54.358052780064064</v>
      </c>
    </row>
    <row r="645" spans="1:32" x14ac:dyDescent="0.25">
      <c r="A645" s="21" t="s">
        <v>1334</v>
      </c>
      <c r="B645" s="3" t="s">
        <v>1335</v>
      </c>
      <c r="C645" s="3" t="s">
        <v>19</v>
      </c>
      <c r="D645" s="4">
        <v>45208</v>
      </c>
      <c r="E645" s="4">
        <v>48861</v>
      </c>
      <c r="F645" s="3">
        <v>1000</v>
      </c>
      <c r="G645" s="3" t="s">
        <v>20</v>
      </c>
      <c r="H645" s="3">
        <v>1080</v>
      </c>
      <c r="I645" s="3" t="s">
        <v>20</v>
      </c>
      <c r="J645" s="3">
        <v>108</v>
      </c>
      <c r="K645" s="3">
        <v>500</v>
      </c>
      <c r="L645" s="5">
        <v>8.1000000000000003E-2</v>
      </c>
      <c r="M645" s="3" t="s">
        <v>21</v>
      </c>
      <c r="N645" s="3">
        <v>2944</v>
      </c>
      <c r="O645" s="6">
        <f>Table1[[#This Row],[Current coupon %]]*Table1[[#This Row],[Face value]]/Table1[[#This Row],[Ask Price]]</f>
        <v>7.4999999999999997E-2</v>
      </c>
      <c r="P645" s="3"/>
      <c r="Q645" s="3" t="s">
        <v>22</v>
      </c>
      <c r="R645">
        <f t="shared" si="10"/>
        <v>10</v>
      </c>
      <c r="S645" s="22" cm="1">
        <f t="array" ref="S645">_xlfn.IFS(Table1[[#This Row],[Coupon frequency]]="Semi-annual",2,Table1[[#This Row],[Coupon frequency]]="Quarterly",4,Table1[[#This Row],[Coupon frequency]]="Annual",1,Table1[[#This Row],[Coupon frequency]]="Every 4 months",3,Table1[[#This Row],[Coupon frequency]]="Monthly",12)</f>
        <v>1</v>
      </c>
      <c r="T645">
        <f>Table1[[#This Row],[Term to Maturity (Years)]]*Table1[[#This Row],[Coupon Frequency2]]</f>
        <v>10</v>
      </c>
      <c r="U645">
        <f>Table1[[#This Row],[Face value]]*Table1[[#This Row],[Current coupon %]]/Table1[[#This Row],[Coupon Frequency2]]</f>
        <v>81</v>
      </c>
      <c r="V645" s="23">
        <f>RATE(Table1[[#This Row],[Total No. of Coupons]],Table1[[#This Row],[Coupon Amount]],-Table1[[#This Row],[Ask Price]],Table1[[#This Row],[Face value]])</f>
        <v>6.9629309248478252E-2</v>
      </c>
      <c r="W645" s="24">
        <f>Table1[[#This Row],[IRR]]*Table1[[#This Row],[Coupon Frequency2]]</f>
        <v>6.9629309248478252E-2</v>
      </c>
      <c r="X645" s="25" cm="1">
        <f t="array" ref="X6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5" s="26">
        <f>DURATION(Table1[[#This Row],[Issue date]],Table1[[#This Row],[Maturity date]],Table1[[#This Row],[Current coupon %]],Table1[[#This Row],[Yield (Annualised)]],Table1[[#This Row],[Coupon Frequency2]])</f>
        <v>7.3346553754952888</v>
      </c>
      <c r="Z645" s="26">
        <f>Table1[[#This Row],[Macaulay Duration in Years]]/(1+Table1[[#This Row],[IRR]])</f>
        <v>6.8571937138190595</v>
      </c>
      <c r="AA645" s="27">
        <f>VLOOKUP(Table1[[#This Row],[Yield Cluster]],'[1]Cluster Details'!$B$3:$C$16,2,0)</f>
        <v>7.8548801574189142E-2</v>
      </c>
      <c r="AB645" s="28">
        <f>PRICE(Table1[[#This Row],[Issue date]],Table1[[#This Row],[Maturity date]],Table1[[#This Row],[Current coupon %]],Table1[[#This Row],[Average Cluster Yield]],100,Table1[[#This Row],[Coupon Frequency2]])*Table1[[#This Row],[Face value]]/100</f>
        <v>1016.5559471170703</v>
      </c>
      <c r="AC645" s="27" t="str">
        <f>IF(Table1[[#This Row],[Ask Price]]&gt;Table1[[#This Row],[Calculated Bond Price]],"Rich","Cheap")</f>
        <v>Rich</v>
      </c>
      <c r="AD645" s="28">
        <f>PRICE(Table1[[#This Row],[Issue date]],Table1[[#This Row],[Maturity date]],Table1[[#This Row],[Current coupon %]],Table1[[#This Row],[Yield (Annualised)]]+$AE$2,100,Table1[[#This Row],[Coupon Frequency2]])*Table1[[#This Row],[Face value]]/100</f>
        <v>1009.2128444249537</v>
      </c>
      <c r="AE645" s="28">
        <f>PRICE(Table1[[#This Row],[Issue date]],Table1[[#This Row],[Maturity date]],Table1[[#This Row],[Current coupon %]],Table1[[#This Row],[Yield (Annualised)]]-$AE$2,100,Table1[[#This Row],[Coupon Frequency2]])*Table1[[#This Row],[Face value]]/100</f>
        <v>1157.5667523838281</v>
      </c>
      <c r="AF645" s="28">
        <f>(Table1[[#This Row],[P (+ shock)]]+Table1[[#This Row],[P (-shock)]]-2*Table1[[#This Row],[Ask Price]])/(2*Table1[[#This Row],[Ask Price]]*($AE$2^2))</f>
        <v>31.387022262878066</v>
      </c>
    </row>
    <row r="646" spans="1:32" x14ac:dyDescent="0.25">
      <c r="A646" s="21" t="s">
        <v>1336</v>
      </c>
      <c r="B646" s="3" t="s">
        <v>1337</v>
      </c>
      <c r="C646" s="3" t="s">
        <v>19</v>
      </c>
      <c r="D646" s="4">
        <v>42605</v>
      </c>
      <c r="E646" s="4">
        <v>46257</v>
      </c>
      <c r="F646" s="3">
        <v>1000000</v>
      </c>
      <c r="G646" s="3" t="s">
        <v>20</v>
      </c>
      <c r="H646" s="3">
        <v>1011699</v>
      </c>
      <c r="I646" s="3" t="s">
        <v>20</v>
      </c>
      <c r="J646" s="3">
        <v>101.169899999999</v>
      </c>
      <c r="K646" s="3">
        <v>250</v>
      </c>
      <c r="L646" s="5">
        <v>7.5800000000000006E-2</v>
      </c>
      <c r="M646" s="3" t="s">
        <v>21</v>
      </c>
      <c r="N646" s="3">
        <v>340</v>
      </c>
      <c r="O646" s="6">
        <f>Table1[[#This Row],[Current coupon %]]*Table1[[#This Row],[Face value]]/Table1[[#This Row],[Ask Price]]</f>
        <v>7.4923470320717916E-2</v>
      </c>
      <c r="P646" s="3" t="s">
        <v>297</v>
      </c>
      <c r="Q646" s="3" t="s">
        <v>22</v>
      </c>
      <c r="R646">
        <f t="shared" si="10"/>
        <v>10</v>
      </c>
      <c r="S646" s="22" cm="1">
        <f t="array" ref="S646">_xlfn.IFS(Table1[[#This Row],[Coupon frequency]]="Semi-annual",2,Table1[[#This Row],[Coupon frequency]]="Quarterly",4,Table1[[#This Row],[Coupon frequency]]="Annual",1,Table1[[#This Row],[Coupon frequency]]="Every 4 months",3,Table1[[#This Row],[Coupon frequency]]="Monthly",12)</f>
        <v>1</v>
      </c>
      <c r="T646">
        <f>Table1[[#This Row],[Term to Maturity (Years)]]*Table1[[#This Row],[Coupon Frequency2]]</f>
        <v>10</v>
      </c>
      <c r="U646">
        <f>Table1[[#This Row],[Face value]]*Table1[[#This Row],[Current coupon %]]/Table1[[#This Row],[Coupon Frequency2]]</f>
        <v>75800</v>
      </c>
      <c r="V646" s="23">
        <f>RATE(Table1[[#This Row],[Total No. of Coupons]],Table1[[#This Row],[Coupon Amount]],-Table1[[#This Row],[Ask Price]],Table1[[#This Row],[Face value]])</f>
        <v>7.410259760378754E-2</v>
      </c>
      <c r="W646" s="24">
        <f>Table1[[#This Row],[IRR]]*Table1[[#This Row],[Coupon Frequency2]]</f>
        <v>7.410259760378754E-2</v>
      </c>
      <c r="X646" s="25" cm="1">
        <f t="array" ref="X6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6" s="26">
        <f>DURATION(Table1[[#This Row],[Issue date]],Table1[[#This Row],[Maturity date]],Table1[[#This Row],[Current coupon %]],Table1[[#This Row],[Yield (Annualised)]],Table1[[#This Row],[Coupon Frequency2]])</f>
        <v>7.374265256382798</v>
      </c>
      <c r="Z646" s="26">
        <f>Table1[[#This Row],[Macaulay Duration in Years]]/(1+Table1[[#This Row],[IRR]])</f>
        <v>6.8655129154645245</v>
      </c>
      <c r="AA646" s="27">
        <f>VLOOKUP(Table1[[#This Row],[Yield Cluster]],'[1]Cluster Details'!$B$3:$C$16,2,0)</f>
        <v>7.8548801574189142E-2</v>
      </c>
      <c r="AB646" s="28">
        <f>PRICE(Table1[[#This Row],[Issue date]],Table1[[#This Row],[Maturity date]],Table1[[#This Row],[Current coupon %]],Table1[[#This Row],[Average Cluster Yield]],100,Table1[[#This Row],[Coupon Frequency2]])*Table1[[#This Row],[Face value]]/100</f>
        <v>981433.97408451897</v>
      </c>
      <c r="AC646" s="27" t="str">
        <f>IF(Table1[[#This Row],[Ask Price]]&gt;Table1[[#This Row],[Calculated Bond Price]],"Rich","Cheap")</f>
        <v>Rich</v>
      </c>
      <c r="AD646" s="28">
        <f>PRICE(Table1[[#This Row],[Issue date]],Table1[[#This Row],[Maturity date]],Table1[[#This Row],[Current coupon %]],Table1[[#This Row],[Yield (Annualised)]]+$AE$2,100,Table1[[#This Row],[Coupon Frequency2]])*Table1[[#This Row],[Face value]]/100</f>
        <v>945305.26718021859</v>
      </c>
      <c r="AE646" s="28">
        <f>PRICE(Table1[[#This Row],[Issue date]],Table1[[#This Row],[Maturity date]],Table1[[#This Row],[Current coupon %]],Table1[[#This Row],[Yield (Annualised)]]-$AE$2,100,Table1[[#This Row],[Coupon Frequency2]])*Table1[[#This Row],[Face value]]/100</f>
        <v>1084444.9204493908</v>
      </c>
      <c r="AF646" s="28">
        <f>(Table1[[#This Row],[P (+ shock)]]+Table1[[#This Row],[P (-shock)]]-2*Table1[[#This Row],[Ask Price]])/(2*Table1[[#This Row],[Ask Price]]*($AE$2^2))</f>
        <v>31.393663676693212</v>
      </c>
    </row>
    <row r="647" spans="1:32" x14ac:dyDescent="0.25">
      <c r="A647" s="21" t="s">
        <v>1338</v>
      </c>
      <c r="B647" s="3" t="s">
        <v>1339</v>
      </c>
      <c r="C647" s="3" t="s">
        <v>19</v>
      </c>
      <c r="D647" s="4">
        <v>45139</v>
      </c>
      <c r="E647" s="4">
        <v>50618</v>
      </c>
      <c r="F647" s="3">
        <v>1000</v>
      </c>
      <c r="G647" s="3" t="s">
        <v>20</v>
      </c>
      <c r="H647" s="3">
        <v>1008</v>
      </c>
      <c r="I647" s="3" t="s">
        <v>20</v>
      </c>
      <c r="J647" s="3">
        <v>100.8</v>
      </c>
      <c r="K647" s="3">
        <v>150</v>
      </c>
      <c r="L647" s="5">
        <v>7.5499999999999998E-2</v>
      </c>
      <c r="M647" s="3" t="s">
        <v>21</v>
      </c>
      <c r="N647" s="3">
        <v>4701</v>
      </c>
      <c r="O647" s="6">
        <f>Table1[[#This Row],[Current coupon %]]*Table1[[#This Row],[Face value]]/Table1[[#This Row],[Ask Price]]</f>
        <v>7.4900793650793648E-2</v>
      </c>
      <c r="P647" s="3" t="s">
        <v>54</v>
      </c>
      <c r="Q647" s="3" t="s">
        <v>22</v>
      </c>
      <c r="R647">
        <f t="shared" si="10"/>
        <v>15</v>
      </c>
      <c r="S647" s="22" cm="1">
        <f t="array" ref="S647">_xlfn.IFS(Table1[[#This Row],[Coupon frequency]]="Semi-annual",2,Table1[[#This Row],[Coupon frequency]]="Quarterly",4,Table1[[#This Row],[Coupon frequency]]="Annual",1,Table1[[#This Row],[Coupon frequency]]="Every 4 months",3,Table1[[#This Row],[Coupon frequency]]="Monthly",12)</f>
        <v>1</v>
      </c>
      <c r="T647">
        <f>Table1[[#This Row],[Term to Maturity (Years)]]*Table1[[#This Row],[Coupon Frequency2]]</f>
        <v>15</v>
      </c>
      <c r="U647">
        <f>Table1[[#This Row],[Face value]]*Table1[[#This Row],[Current coupon %]]/Table1[[#This Row],[Coupon Frequency2]]</f>
        <v>75.5</v>
      </c>
      <c r="V647" s="23">
        <f>RATE(Table1[[#This Row],[Total No. of Coupons]],Table1[[#This Row],[Coupon Amount]],-Table1[[#This Row],[Ask Price]],Table1[[#This Row],[Face value]])</f>
        <v>7.4595974756015523E-2</v>
      </c>
      <c r="W647" s="24">
        <f>Table1[[#This Row],[IRR]]*Table1[[#This Row],[Coupon Frequency2]]</f>
        <v>7.4595974756015523E-2</v>
      </c>
      <c r="X647" s="25" cm="1">
        <f t="array" ref="X6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7" s="26">
        <f>DURATION(Table1[[#This Row],[Issue date]],Table1[[#This Row],[Maturity date]],Table1[[#This Row],[Current coupon %]],Table1[[#This Row],[Yield (Annualised)]],Table1[[#This Row],[Coupon Frequency2]])</f>
        <v>9.4869974345403012</v>
      </c>
      <c r="Z647" s="26">
        <f>Table1[[#This Row],[Macaulay Duration in Years]]/(1+Table1[[#This Row],[IRR]])</f>
        <v>8.8284319478251376</v>
      </c>
      <c r="AA647" s="27">
        <f>VLOOKUP(Table1[[#This Row],[Yield Cluster]],'[1]Cluster Details'!$B$3:$C$16,2,0)</f>
        <v>7.8548801574189142E-2</v>
      </c>
      <c r="AB647" s="28">
        <f>PRICE(Table1[[#This Row],[Issue date]],Table1[[#This Row],[Maturity date]],Table1[[#This Row],[Current coupon %]],Table1[[#This Row],[Average Cluster Yield]],100,Table1[[#This Row],[Coupon Frequency2]])*Table1[[#This Row],[Face value]]/100</f>
        <v>973.67100935902306</v>
      </c>
      <c r="AC647" s="27" t="str">
        <f>IF(Table1[[#This Row],[Ask Price]]&gt;Table1[[#This Row],[Calculated Bond Price]],"Rich","Cheap")</f>
        <v>Rich</v>
      </c>
      <c r="AD647" s="28">
        <f>PRICE(Table1[[#This Row],[Issue date]],Table1[[#This Row],[Maturity date]],Table1[[#This Row],[Current coupon %]],Table1[[#This Row],[Yield (Annualised)]]+$AE$2,100,Table1[[#This Row],[Coupon Frequency2]])*Table1[[#This Row],[Face value]]/100</f>
        <v>924.28130392846344</v>
      </c>
      <c r="AE647" s="28">
        <f>PRICE(Table1[[#This Row],[Issue date]],Table1[[#This Row],[Maturity date]],Table1[[#This Row],[Current coupon %]],Table1[[#This Row],[Yield (Annualised)]]-$AE$2,100,Table1[[#This Row],[Coupon Frequency2]])*Table1[[#This Row],[Face value]]/100</f>
        <v>1102.7935754711436</v>
      </c>
      <c r="AF647" s="28">
        <f>(Table1[[#This Row],[P (+ shock)]]+Table1[[#This Row],[P (-shock)]]-2*Table1[[#This Row],[Ask Price]])/(2*Table1[[#This Row],[Ask Price]]*($AE$2^2))</f>
        <v>54.934917656781735</v>
      </c>
    </row>
    <row r="648" spans="1:32" x14ac:dyDescent="0.25">
      <c r="A648" s="21" t="s">
        <v>1340</v>
      </c>
      <c r="B648" s="3" t="s">
        <v>1341</v>
      </c>
      <c r="C648" s="3" t="s">
        <v>19</v>
      </c>
      <c r="D648" s="4">
        <v>40940</v>
      </c>
      <c r="E648" s="4">
        <v>46419</v>
      </c>
      <c r="F648" s="3">
        <v>1000</v>
      </c>
      <c r="G648" s="3" t="s">
        <v>20</v>
      </c>
      <c r="H648" s="3">
        <v>1111</v>
      </c>
      <c r="I648" s="3" t="s">
        <v>20</v>
      </c>
      <c r="J648" s="3">
        <v>111.1</v>
      </c>
      <c r="K648" s="3">
        <v>150</v>
      </c>
      <c r="L648" s="5">
        <v>8.3000000000000004E-2</v>
      </c>
      <c r="M648" s="3" t="s">
        <v>21</v>
      </c>
      <c r="N648" s="3">
        <v>502</v>
      </c>
      <c r="O648" s="6">
        <f>Table1[[#This Row],[Current coupon %]]*Table1[[#This Row],[Face value]]/Table1[[#This Row],[Ask Price]]</f>
        <v>7.4707470747074706E-2</v>
      </c>
      <c r="P648" s="3" t="s">
        <v>54</v>
      </c>
      <c r="Q648" s="3" t="s">
        <v>22</v>
      </c>
      <c r="R648">
        <f t="shared" si="10"/>
        <v>15</v>
      </c>
      <c r="S648" s="22" cm="1">
        <f t="array" ref="S648">_xlfn.IFS(Table1[[#This Row],[Coupon frequency]]="Semi-annual",2,Table1[[#This Row],[Coupon frequency]]="Quarterly",4,Table1[[#This Row],[Coupon frequency]]="Annual",1,Table1[[#This Row],[Coupon frequency]]="Every 4 months",3,Table1[[#This Row],[Coupon frequency]]="Monthly",12)</f>
        <v>1</v>
      </c>
      <c r="T648">
        <f>Table1[[#This Row],[Term to Maturity (Years)]]*Table1[[#This Row],[Coupon Frequency2]]</f>
        <v>15</v>
      </c>
      <c r="U648">
        <f>Table1[[#This Row],[Face value]]*Table1[[#This Row],[Current coupon %]]/Table1[[#This Row],[Coupon Frequency2]]</f>
        <v>83</v>
      </c>
      <c r="V648" s="23">
        <f>RATE(Table1[[#This Row],[Total No. of Coupons]],Table1[[#This Row],[Coupon Amount]],-Table1[[#This Row],[Ask Price]],Table1[[#This Row],[Face value]])</f>
        <v>7.0754642871587545E-2</v>
      </c>
      <c r="W648" s="24">
        <f>Table1[[#This Row],[IRR]]*Table1[[#This Row],[Coupon Frequency2]]</f>
        <v>7.0754642871587545E-2</v>
      </c>
      <c r="X648" s="25" cm="1">
        <f t="array" ref="X6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8" s="26">
        <f>DURATION(Table1[[#This Row],[Issue date]],Table1[[#This Row],[Maturity date]],Table1[[#This Row],[Current coupon %]],Table1[[#This Row],[Yield (Annualised)]],Table1[[#This Row],[Coupon Frequency2]])</f>
        <v>9.4102701043442867</v>
      </c>
      <c r="Z648" s="26">
        <f>Table1[[#This Row],[Macaulay Duration in Years]]/(1+Table1[[#This Row],[IRR]])</f>
        <v>8.7884466969085402</v>
      </c>
      <c r="AA648" s="27">
        <f>VLOOKUP(Table1[[#This Row],[Yield Cluster]],'[1]Cluster Details'!$B$3:$C$16,2,0)</f>
        <v>7.8548801574189142E-2</v>
      </c>
      <c r="AB648" s="28">
        <f>PRICE(Table1[[#This Row],[Issue date]],Table1[[#This Row],[Maturity date]],Table1[[#This Row],[Current coupon %]],Table1[[#This Row],[Average Cluster Yield]],100,Table1[[#This Row],[Coupon Frequency2]])*Table1[[#This Row],[Face value]]/100</f>
        <v>1038.4398783726956</v>
      </c>
      <c r="AC648" s="27" t="str">
        <f>IF(Table1[[#This Row],[Ask Price]]&gt;Table1[[#This Row],[Calculated Bond Price]],"Rich","Cheap")</f>
        <v>Rich</v>
      </c>
      <c r="AD648" s="28">
        <f>PRICE(Table1[[#This Row],[Issue date]],Table1[[#This Row],[Maturity date]],Table1[[#This Row],[Current coupon %]],Table1[[#This Row],[Yield (Annualised)]]+$AE$2,100,Table1[[#This Row],[Coupon Frequency2]])*Table1[[#This Row],[Face value]]/100</f>
        <v>1019.1308441463229</v>
      </c>
      <c r="AE648" s="28">
        <f>PRICE(Table1[[#This Row],[Issue date]],Table1[[#This Row],[Maturity date]],Table1[[#This Row],[Current coupon %]],Table1[[#This Row],[Yield (Annualised)]]-$AE$2,100,Table1[[#This Row],[Coupon Frequency2]])*Table1[[#This Row],[Face value]]/100</f>
        <v>1214.9911152648049</v>
      </c>
      <c r="AF648" s="28">
        <f>(Table1[[#This Row],[P (+ shock)]]+Table1[[#This Row],[P (-shock)]]-2*Table1[[#This Row],[Ask Price]])/(2*Table1[[#This Row],[Ask Price]]*($AE$2^2))</f>
        <v>54.554272777353937</v>
      </c>
    </row>
    <row r="649" spans="1:32" x14ac:dyDescent="0.25">
      <c r="A649" s="21" t="s">
        <v>1342</v>
      </c>
      <c r="B649" s="3" t="s">
        <v>1343</v>
      </c>
      <c r="C649" s="3" t="s">
        <v>19</v>
      </c>
      <c r="D649" s="4">
        <v>41590</v>
      </c>
      <c r="E649" s="4">
        <v>47069</v>
      </c>
      <c r="F649" s="3">
        <v>1000</v>
      </c>
      <c r="G649" s="3" t="s">
        <v>20</v>
      </c>
      <c r="H649" s="3">
        <v>1123</v>
      </c>
      <c r="I649" s="3" t="s">
        <v>20</v>
      </c>
      <c r="J649" s="3">
        <v>112.3</v>
      </c>
      <c r="K649" s="3">
        <v>120</v>
      </c>
      <c r="L649" s="5">
        <v>8.3800000000000013E-2</v>
      </c>
      <c r="M649" s="3" t="s">
        <v>21</v>
      </c>
      <c r="N649" s="3">
        <v>1152</v>
      </c>
      <c r="O649" s="6">
        <f>Table1[[#This Row],[Current coupon %]]*Table1[[#This Row],[Face value]]/Table1[[#This Row],[Ask Price]]</f>
        <v>7.4621549421193242E-2</v>
      </c>
      <c r="P649" s="3" t="s">
        <v>54</v>
      </c>
      <c r="Q649" s="3" t="s">
        <v>22</v>
      </c>
      <c r="R649">
        <f t="shared" si="10"/>
        <v>15</v>
      </c>
      <c r="S649" s="22" cm="1">
        <f t="array" ref="S649">_xlfn.IFS(Table1[[#This Row],[Coupon frequency]]="Semi-annual",2,Table1[[#This Row],[Coupon frequency]]="Quarterly",4,Table1[[#This Row],[Coupon frequency]]="Annual",1,Table1[[#This Row],[Coupon frequency]]="Every 4 months",3,Table1[[#This Row],[Coupon frequency]]="Monthly",12)</f>
        <v>1</v>
      </c>
      <c r="T649">
        <f>Table1[[#This Row],[Term to Maturity (Years)]]*Table1[[#This Row],[Coupon Frequency2]]</f>
        <v>15</v>
      </c>
      <c r="U649">
        <f>Table1[[#This Row],[Face value]]*Table1[[#This Row],[Current coupon %]]/Table1[[#This Row],[Coupon Frequency2]]</f>
        <v>83.800000000000011</v>
      </c>
      <c r="V649" s="23">
        <f>RATE(Table1[[#This Row],[Total No. of Coupons]],Table1[[#This Row],[Coupon Amount]],-Table1[[#This Row],[Ask Price]],Table1[[#This Row],[Face value]])</f>
        <v>7.0272046833957449E-2</v>
      </c>
      <c r="W649" s="24">
        <f>Table1[[#This Row],[IRR]]*Table1[[#This Row],[Coupon Frequency2]]</f>
        <v>7.0272046833957449E-2</v>
      </c>
      <c r="X649" s="25" cm="1">
        <f t="array" ref="X6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49" s="26">
        <f>DURATION(Table1[[#This Row],[Issue date]],Table1[[#This Row],[Maturity date]],Table1[[#This Row],[Current coupon %]],Table1[[#This Row],[Yield (Annualised)]],Table1[[#This Row],[Coupon Frequency2]])</f>
        <v>9.4051057018328414</v>
      </c>
      <c r="Z649" s="26">
        <f>Table1[[#This Row],[Macaulay Duration in Years]]/(1+Table1[[#This Row],[IRR]])</f>
        <v>8.7875841751213688</v>
      </c>
      <c r="AA649" s="27">
        <f>VLOOKUP(Table1[[#This Row],[Yield Cluster]],'[1]Cluster Details'!$B$3:$C$16,2,0)</f>
        <v>7.8548801574189142E-2</v>
      </c>
      <c r="AB649" s="28">
        <f>PRICE(Table1[[#This Row],[Issue date]],Table1[[#This Row],[Maturity date]],Table1[[#This Row],[Current coupon %]],Table1[[#This Row],[Average Cluster Yield]],100,Table1[[#This Row],[Coupon Frequency2]])*Table1[[#This Row],[Face value]]/100</f>
        <v>1045.3485577341539</v>
      </c>
      <c r="AC649" s="27" t="str">
        <f>IF(Table1[[#This Row],[Ask Price]]&gt;Table1[[#This Row],[Calculated Bond Price]],"Rich","Cheap")</f>
        <v>Rich</v>
      </c>
      <c r="AD649" s="28">
        <f>PRICE(Table1[[#This Row],[Issue date]],Table1[[#This Row],[Maturity date]],Table1[[#This Row],[Current coupon %]],Table1[[#This Row],[Yield (Annualised)]]+$AE$2,100,Table1[[#This Row],[Coupon Frequency2]])*Table1[[#This Row],[Face value]]/100</f>
        <v>1030.1473432337393</v>
      </c>
      <c r="AE649" s="28">
        <f>PRICE(Table1[[#This Row],[Issue date]],Table1[[#This Row],[Maturity date]],Table1[[#This Row],[Current coupon %]],Table1[[#This Row],[Yield (Annualised)]]-$AE$2,100,Table1[[#This Row],[Coupon Frequency2]])*Table1[[#This Row],[Face value]]/100</f>
        <v>1228.1037031714163</v>
      </c>
      <c r="AF649" s="28">
        <f>(Table1[[#This Row],[P (+ shock)]]+Table1[[#This Row],[P (-shock)]]-2*Table1[[#This Row],[Ask Price]])/(2*Table1[[#This Row],[Ask Price]]*($AE$2^2))</f>
        <v>54.546065917879105</v>
      </c>
    </row>
    <row r="650" spans="1:32" x14ac:dyDescent="0.25">
      <c r="A650" s="21" t="s">
        <v>1344</v>
      </c>
      <c r="B650" s="3" t="s">
        <v>1345</v>
      </c>
      <c r="C650" s="3" t="s">
        <v>19</v>
      </c>
      <c r="D650" s="4">
        <v>41558</v>
      </c>
      <c r="E650" s="4">
        <v>47037</v>
      </c>
      <c r="F650" s="3">
        <v>1000000</v>
      </c>
      <c r="G650" s="3" t="s">
        <v>20</v>
      </c>
      <c r="H650" s="3">
        <v>1147312.53</v>
      </c>
      <c r="I650" s="3" t="s">
        <v>20</v>
      </c>
      <c r="J650" s="3">
        <v>114.731253</v>
      </c>
      <c r="K650" s="3">
        <v>5</v>
      </c>
      <c r="L650" s="5">
        <v>8.539999999999999E-2</v>
      </c>
      <c r="M650" s="3" t="s">
        <v>21</v>
      </c>
      <c r="N650" s="3">
        <v>1120</v>
      </c>
      <c r="O650" s="6">
        <f>Table1[[#This Row],[Current coupon %]]*Table1[[#This Row],[Face value]]/Table1[[#This Row],[Ask Price]]</f>
        <v>7.4434818558113347E-2</v>
      </c>
      <c r="P650" s="3"/>
      <c r="Q650" s="3" t="s">
        <v>22</v>
      </c>
      <c r="R650">
        <f t="shared" si="10"/>
        <v>15</v>
      </c>
      <c r="S650" s="22" cm="1">
        <f t="array" ref="S650">_xlfn.IFS(Table1[[#This Row],[Coupon frequency]]="Semi-annual",2,Table1[[#This Row],[Coupon frequency]]="Quarterly",4,Table1[[#This Row],[Coupon frequency]]="Annual",1,Table1[[#This Row],[Coupon frequency]]="Every 4 months",3,Table1[[#This Row],[Coupon frequency]]="Monthly",12)</f>
        <v>1</v>
      </c>
      <c r="T650">
        <f>Table1[[#This Row],[Term to Maturity (Years)]]*Table1[[#This Row],[Coupon Frequency2]]</f>
        <v>15</v>
      </c>
      <c r="U650">
        <f>Table1[[#This Row],[Face value]]*Table1[[#This Row],[Current coupon %]]/Table1[[#This Row],[Coupon Frequency2]]</f>
        <v>85399.999999999985</v>
      </c>
      <c r="V650" s="23">
        <f>RATE(Table1[[#This Row],[Total No. of Coupons]],Table1[[#This Row],[Coupon Amount]],-Table1[[#This Row],[Ask Price]],Table1[[#This Row],[Face value]])</f>
        <v>6.9297562110533673E-2</v>
      </c>
      <c r="W650" s="24">
        <f>Table1[[#This Row],[IRR]]*Table1[[#This Row],[Coupon Frequency2]]</f>
        <v>6.9297562110533673E-2</v>
      </c>
      <c r="X650" s="25" cm="1">
        <f t="array" ref="X6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0" s="26">
        <f>DURATION(Table1[[#This Row],[Issue date]],Table1[[#This Row],[Maturity date]],Table1[[#This Row],[Current coupon %]],Table1[[#This Row],[Yield (Annualised)]],Table1[[#This Row],[Coupon Frequency2]])</f>
        <v>9.3956315358680413</v>
      </c>
      <c r="Z650" s="26">
        <f>Table1[[#This Row],[Macaulay Duration in Years]]/(1+Table1[[#This Row],[IRR]])</f>
        <v>8.786732401524743</v>
      </c>
      <c r="AA650" s="27">
        <f>VLOOKUP(Table1[[#This Row],[Yield Cluster]],'[1]Cluster Details'!$B$3:$C$16,2,0)</f>
        <v>7.8548801574189142E-2</v>
      </c>
      <c r="AB650" s="28">
        <f>PRICE(Table1[[#This Row],[Issue date]],Table1[[#This Row],[Maturity date]],Table1[[#This Row],[Current coupon %]],Table1[[#This Row],[Average Cluster Yield]],100,Table1[[#This Row],[Coupon Frequency2]])*Table1[[#This Row],[Face value]]/100</f>
        <v>1059165.9164570705</v>
      </c>
      <c r="AC650" s="27" t="str">
        <f>IF(Table1[[#This Row],[Ask Price]]&gt;Table1[[#This Row],[Calculated Bond Price]],"Rich","Cheap")</f>
        <v>Rich</v>
      </c>
      <c r="AD650" s="28">
        <f>PRICE(Table1[[#This Row],[Issue date]],Table1[[#This Row],[Maturity date]],Table1[[#This Row],[Current coupon %]],Table1[[#This Row],[Yield (Annualised)]]+$AE$2,100,Table1[[#This Row],[Coupon Frequency2]])*Table1[[#This Row],[Face value]]/100</f>
        <v>1052458.4696456552</v>
      </c>
      <c r="AE650" s="28">
        <f>PRICE(Table1[[#This Row],[Issue date]],Table1[[#This Row],[Maturity date]],Table1[[#This Row],[Current coupon %]],Table1[[#This Row],[Yield (Annualised)]]-$AE$2,100,Table1[[#This Row],[Coupon Frequency2]])*Table1[[#This Row],[Face value]]/100</f>
        <v>1254680.9905527716</v>
      </c>
      <c r="AF650" s="28">
        <f>(Table1[[#This Row],[P (+ shock)]]+Table1[[#This Row],[P (-shock)]]-2*Table1[[#This Row],[Ask Price]])/(2*Table1[[#This Row],[Ask Price]]*($AE$2^2))</f>
        <v>54.537886893062009</v>
      </c>
    </row>
    <row r="651" spans="1:32" x14ac:dyDescent="0.25">
      <c r="A651" s="21" t="s">
        <v>1346</v>
      </c>
      <c r="B651" s="3" t="s">
        <v>1347</v>
      </c>
      <c r="C651" s="3" t="s">
        <v>19</v>
      </c>
      <c r="D651" s="4">
        <v>41594</v>
      </c>
      <c r="E651" s="4">
        <v>47073</v>
      </c>
      <c r="F651" s="3">
        <v>1000</v>
      </c>
      <c r="G651" s="3" t="s">
        <v>20</v>
      </c>
      <c r="H651" s="3">
        <v>1148.01</v>
      </c>
      <c r="I651" s="3" t="s">
        <v>20</v>
      </c>
      <c r="J651" s="3">
        <v>114.801</v>
      </c>
      <c r="K651" s="3">
        <v>10</v>
      </c>
      <c r="L651" s="5">
        <v>8.539999999999999E-2</v>
      </c>
      <c r="M651" s="3" t="s">
        <v>21</v>
      </c>
      <c r="N651" s="3">
        <v>1156</v>
      </c>
      <c r="O651" s="6">
        <f>Table1[[#This Row],[Current coupon %]]*Table1[[#This Row],[Face value]]/Table1[[#This Row],[Ask Price]]</f>
        <v>7.4389595909443287E-2</v>
      </c>
      <c r="P651" s="3" t="s">
        <v>54</v>
      </c>
      <c r="Q651" s="3" t="s">
        <v>22</v>
      </c>
      <c r="R651">
        <f t="shared" si="10"/>
        <v>15</v>
      </c>
      <c r="S651" s="22" cm="1">
        <f t="array" ref="S651">_xlfn.IFS(Table1[[#This Row],[Coupon frequency]]="Semi-annual",2,Table1[[#This Row],[Coupon frequency]]="Quarterly",4,Table1[[#This Row],[Coupon frequency]]="Annual",1,Table1[[#This Row],[Coupon frequency]]="Every 4 months",3,Table1[[#This Row],[Coupon frequency]]="Monthly",12)</f>
        <v>1</v>
      </c>
      <c r="T651">
        <f>Table1[[#This Row],[Term to Maturity (Years)]]*Table1[[#This Row],[Coupon Frequency2]]</f>
        <v>15</v>
      </c>
      <c r="U651">
        <f>Table1[[#This Row],[Face value]]*Table1[[#This Row],[Current coupon %]]/Table1[[#This Row],[Coupon Frequency2]]</f>
        <v>85.399999999999991</v>
      </c>
      <c r="V651" s="23">
        <f>RATE(Table1[[#This Row],[Total No. of Coupons]],Table1[[#This Row],[Coupon Amount]],-Table1[[#This Row],[Ask Price]],Table1[[#This Row],[Face value]])</f>
        <v>6.9228406039735166E-2</v>
      </c>
      <c r="W651" s="24">
        <f>Table1[[#This Row],[IRR]]*Table1[[#This Row],[Coupon Frequency2]]</f>
        <v>6.9228406039735166E-2</v>
      </c>
      <c r="X651" s="25" cm="1">
        <f t="array" ref="X6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1" s="26">
        <f>DURATION(Table1[[#This Row],[Issue date]],Table1[[#This Row],[Maturity date]],Table1[[#This Row],[Current coupon %]],Table1[[#This Row],[Yield (Annualised)]],Table1[[#This Row],[Coupon Frequency2]])</f>
        <v>9.3973652294167334</v>
      </c>
      <c r="Z651" s="26">
        <f>Table1[[#This Row],[Macaulay Duration in Years]]/(1+Table1[[#This Row],[IRR]])</f>
        <v>8.7889221576362644</v>
      </c>
      <c r="AA651" s="27">
        <f>VLOOKUP(Table1[[#This Row],[Yield Cluster]],'[1]Cluster Details'!$B$3:$C$16,2,0)</f>
        <v>7.8548801574189142E-2</v>
      </c>
      <c r="AB651" s="28">
        <f>PRICE(Table1[[#This Row],[Issue date]],Table1[[#This Row],[Maturity date]],Table1[[#This Row],[Current coupon %]],Table1[[#This Row],[Average Cluster Yield]],100,Table1[[#This Row],[Coupon Frequency2]])*Table1[[#This Row],[Face value]]/100</f>
        <v>1059.1659164570706</v>
      </c>
      <c r="AC651" s="27" t="str">
        <f>IF(Table1[[#This Row],[Ask Price]]&gt;Table1[[#This Row],[Calculated Bond Price]],"Rich","Cheap")</f>
        <v>Rich</v>
      </c>
      <c r="AD651" s="28">
        <f>PRICE(Table1[[#This Row],[Issue date]],Table1[[#This Row],[Maturity date]],Table1[[#This Row],[Current coupon %]],Table1[[#This Row],[Yield (Annualised)]]+$AE$2,100,Table1[[#This Row],[Coupon Frequency2]])*Table1[[#This Row],[Face value]]/100</f>
        <v>1053.0754200021049</v>
      </c>
      <c r="AE651" s="28">
        <f>PRICE(Table1[[#This Row],[Issue date]],Table1[[#This Row],[Maturity date]],Table1[[#This Row],[Current coupon %]],Table1[[#This Row],[Yield (Annualised)]]-$AE$2,100,Table1[[#This Row],[Coupon Frequency2]])*Table1[[#This Row],[Face value]]/100</f>
        <v>1255.4714454419873</v>
      </c>
      <c r="AF651" s="28">
        <f>(Table1[[#This Row],[P (+ shock)]]+Table1[[#This Row],[P (-shock)]]-2*Table1[[#This Row],[Ask Price]])/(2*Table1[[#This Row],[Ask Price]]*($AE$2^2))</f>
        <v>54.559043231731351</v>
      </c>
    </row>
    <row r="652" spans="1:32" x14ac:dyDescent="0.25">
      <c r="A652" s="21" t="s">
        <v>1348</v>
      </c>
      <c r="B652" s="3" t="s">
        <v>1349</v>
      </c>
      <c r="C652" s="3" t="s">
        <v>19</v>
      </c>
      <c r="D652" s="4">
        <v>44216</v>
      </c>
      <c r="E652" s="4">
        <v>47868</v>
      </c>
      <c r="F652" s="3">
        <v>1000000</v>
      </c>
      <c r="G652" s="3" t="s">
        <v>20</v>
      </c>
      <c r="H652" s="3">
        <v>1001615</v>
      </c>
      <c r="I652" s="3" t="s">
        <v>20</v>
      </c>
      <c r="J652" s="3">
        <v>100.16149999999899</v>
      </c>
      <c r="K652" s="3">
        <v>4</v>
      </c>
      <c r="L652" s="5">
        <v>7.4499999999999997E-2</v>
      </c>
      <c r="M652" s="3" t="s">
        <v>21</v>
      </c>
      <c r="N652" s="3">
        <v>1951</v>
      </c>
      <c r="O652" s="6">
        <f>Table1[[#This Row],[Current coupon %]]*Table1[[#This Row],[Face value]]/Table1[[#This Row],[Ask Price]]</f>
        <v>7.4379876499453379E-2</v>
      </c>
      <c r="P652" s="3"/>
      <c r="Q652" s="3" t="s">
        <v>22</v>
      </c>
      <c r="R652">
        <f t="shared" si="10"/>
        <v>10</v>
      </c>
      <c r="S652" s="22" cm="1">
        <f t="array" ref="S652">_xlfn.IFS(Table1[[#This Row],[Coupon frequency]]="Semi-annual",2,Table1[[#This Row],[Coupon frequency]]="Quarterly",4,Table1[[#This Row],[Coupon frequency]]="Annual",1,Table1[[#This Row],[Coupon frequency]]="Every 4 months",3,Table1[[#This Row],[Coupon frequency]]="Monthly",12)</f>
        <v>1</v>
      </c>
      <c r="T652">
        <f>Table1[[#This Row],[Term to Maturity (Years)]]*Table1[[#This Row],[Coupon Frequency2]]</f>
        <v>10</v>
      </c>
      <c r="U652">
        <f>Table1[[#This Row],[Face value]]*Table1[[#This Row],[Current coupon %]]/Table1[[#This Row],[Coupon Frequency2]]</f>
        <v>74500</v>
      </c>
      <c r="V652" s="23">
        <f>RATE(Table1[[#This Row],[Total No. of Coupons]],Table1[[#This Row],[Coupon Amount]],-Table1[[#This Row],[Ask Price]],Table1[[#This Row],[Face value]])</f>
        <v>7.4265505697544754E-2</v>
      </c>
      <c r="W652" s="24">
        <f>Table1[[#This Row],[IRR]]*Table1[[#This Row],[Coupon Frequency2]]</f>
        <v>7.4265505697544754E-2</v>
      </c>
      <c r="X652" s="25" cm="1">
        <f t="array" ref="X6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2" s="26">
        <f>DURATION(Table1[[#This Row],[Issue date]],Table1[[#This Row],[Maturity date]],Table1[[#This Row],[Current coupon %]],Table1[[#This Row],[Yield (Annualised)]],Table1[[#This Row],[Coupon Frequency2]])</f>
        <v>7.3946332649916071</v>
      </c>
      <c r="Z652" s="26">
        <f>Table1[[#This Row],[Macaulay Duration in Years]]/(1+Table1[[#This Row],[IRR]])</f>
        <v>6.8834317268616996</v>
      </c>
      <c r="AA652" s="27">
        <f>VLOOKUP(Table1[[#This Row],[Yield Cluster]],'[1]Cluster Details'!$B$3:$C$16,2,0)</f>
        <v>7.8548801574189142E-2</v>
      </c>
      <c r="AB652" s="28">
        <f>PRICE(Table1[[#This Row],[Issue date]],Table1[[#This Row],[Maturity date]],Table1[[#This Row],[Current coupon %]],Table1[[#This Row],[Average Cluster Yield]],100,Table1[[#This Row],[Coupon Frequency2]])*Table1[[#This Row],[Face value]]/100</f>
        <v>972653.48082638101</v>
      </c>
      <c r="AC652" s="27" t="str">
        <f>IF(Table1[[#This Row],[Ask Price]]&gt;Table1[[#This Row],[Calculated Bond Price]],"Rich","Cheap")</f>
        <v>Rich</v>
      </c>
      <c r="AD652" s="28">
        <f>PRICE(Table1[[#This Row],[Issue date]],Table1[[#This Row],[Maturity date]],Table1[[#This Row],[Current coupon %]],Table1[[#This Row],[Yield (Annualised)]]+$AE$2,100,Table1[[#This Row],[Coupon Frequency2]])*Table1[[#This Row],[Face value]]/100</f>
        <v>935714.89081028569</v>
      </c>
      <c r="AE652" s="28">
        <f>PRICE(Table1[[#This Row],[Issue date]],Table1[[#This Row],[Maturity date]],Table1[[#This Row],[Current coupon %]],Table1[[#This Row],[Yield (Annualised)]]-$AE$2,100,Table1[[#This Row],[Coupon Frequency2]])*Table1[[#This Row],[Face value]]/100</f>
        <v>1073827.5970624906</v>
      </c>
      <c r="AF652" s="28">
        <f>(Table1[[#This Row],[P (+ shock)]]+Table1[[#This Row],[P (-shock)]]-2*Table1[[#This Row],[Ask Price]])/(2*Table1[[#This Row],[Ask Price]]*($AE$2^2))</f>
        <v>31.511548213516882</v>
      </c>
    </row>
    <row r="653" spans="1:32" x14ac:dyDescent="0.25">
      <c r="A653" s="21" t="s">
        <v>1350</v>
      </c>
      <c r="B653" s="3" t="s">
        <v>1351</v>
      </c>
      <c r="C653" s="3" t="s">
        <v>19</v>
      </c>
      <c r="D653" s="4">
        <v>45139</v>
      </c>
      <c r="E653" s="4">
        <v>48792</v>
      </c>
      <c r="F653" s="3">
        <v>1000</v>
      </c>
      <c r="G653" s="3" t="s">
        <v>20</v>
      </c>
      <c r="H653" s="3">
        <v>1014</v>
      </c>
      <c r="I653" s="3" t="s">
        <v>20</v>
      </c>
      <c r="J653" s="3">
        <v>101.4</v>
      </c>
      <c r="K653" s="3">
        <v>30</v>
      </c>
      <c r="L653" s="5">
        <v>7.5300000000000006E-2</v>
      </c>
      <c r="M653" s="3" t="s">
        <v>21</v>
      </c>
      <c r="N653" s="3">
        <v>2875</v>
      </c>
      <c r="O653" s="6">
        <f>Table1[[#This Row],[Current coupon %]]*Table1[[#This Row],[Face value]]/Table1[[#This Row],[Ask Price]]</f>
        <v>7.4260355029585806E-2</v>
      </c>
      <c r="P653" s="3" t="s">
        <v>54</v>
      </c>
      <c r="Q653" s="3" t="s">
        <v>22</v>
      </c>
      <c r="R653">
        <f t="shared" si="10"/>
        <v>10</v>
      </c>
      <c r="S653" s="22" cm="1">
        <f t="array" ref="S653">_xlfn.IFS(Table1[[#This Row],[Coupon frequency]]="Semi-annual",2,Table1[[#This Row],[Coupon frequency]]="Quarterly",4,Table1[[#This Row],[Coupon frequency]]="Annual",1,Table1[[#This Row],[Coupon frequency]]="Every 4 months",3,Table1[[#This Row],[Coupon frequency]]="Monthly",12)</f>
        <v>1</v>
      </c>
      <c r="T653">
        <f>Table1[[#This Row],[Term to Maturity (Years)]]*Table1[[#This Row],[Coupon Frequency2]]</f>
        <v>10</v>
      </c>
      <c r="U653">
        <f>Table1[[#This Row],[Face value]]*Table1[[#This Row],[Current coupon %]]/Table1[[#This Row],[Coupon Frequency2]]</f>
        <v>75.300000000000011</v>
      </c>
      <c r="V653" s="23">
        <f>RATE(Table1[[#This Row],[Total No. of Coupons]],Table1[[#This Row],[Coupon Amount]],-Table1[[#This Row],[Ask Price]],Table1[[#This Row],[Face value]])</f>
        <v>7.3276419455437891E-2</v>
      </c>
      <c r="W653" s="24">
        <f>Table1[[#This Row],[IRR]]*Table1[[#This Row],[Coupon Frequency2]]</f>
        <v>7.3276419455437891E-2</v>
      </c>
      <c r="X653" s="25" cm="1">
        <f t="array" ref="X6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3" s="26">
        <f>DURATION(Table1[[#This Row],[Issue date]],Table1[[#This Row],[Maturity date]],Table1[[#This Row],[Current coupon %]],Table1[[#This Row],[Yield (Annualised)]],Table1[[#This Row],[Coupon Frequency2]])</f>
        <v>7.3908164074470637</v>
      </c>
      <c r="Z653" s="26">
        <f>Table1[[#This Row],[Macaulay Duration in Years]]/(1+Table1[[#This Row],[IRR]])</f>
        <v>6.8862189399419007</v>
      </c>
      <c r="AA653" s="27">
        <f>VLOOKUP(Table1[[#This Row],[Yield Cluster]],'[1]Cluster Details'!$B$3:$C$16,2,0)</f>
        <v>7.8548801574189142E-2</v>
      </c>
      <c r="AB653" s="28">
        <f>PRICE(Table1[[#This Row],[Issue date]],Table1[[#This Row],[Maturity date]],Table1[[#This Row],[Current coupon %]],Table1[[#This Row],[Average Cluster Yield]],100,Table1[[#This Row],[Coupon Frequency2]])*Table1[[#This Row],[Face value]]/100</f>
        <v>978.05686129292735</v>
      </c>
      <c r="AC653" s="27" t="str">
        <f>IF(Table1[[#This Row],[Ask Price]]&gt;Table1[[#This Row],[Calculated Bond Price]],"Rich","Cheap")</f>
        <v>Rich</v>
      </c>
      <c r="AD653" s="28">
        <f>PRICE(Table1[[#This Row],[Issue date]],Table1[[#This Row],[Maturity date]],Table1[[#This Row],[Current coupon %]],Table1[[#This Row],[Yield (Annualised)]]+$AE$2,100,Table1[[#This Row],[Coupon Frequency2]])*Table1[[#This Row],[Face value]]/100</f>
        <v>947.25960987087001</v>
      </c>
      <c r="AE653" s="28">
        <f>PRICE(Table1[[#This Row],[Issue date]],Table1[[#This Row],[Maturity date]],Table1[[#This Row],[Current coupon %]],Table1[[#This Row],[Yield (Annualised)]]-$AE$2,100,Table1[[#This Row],[Coupon Frequency2]])*Table1[[#This Row],[Face value]]/100</f>
        <v>1087.136969055952</v>
      </c>
      <c r="AF653" s="28">
        <f>(Table1[[#This Row],[P (+ shock)]]+Table1[[#This Row],[P (-shock)]]-2*Table1[[#This Row],[Ask Price]])/(2*Table1[[#This Row],[Ask Price]]*($AE$2^2))</f>
        <v>31.541316207209224</v>
      </c>
    </row>
    <row r="654" spans="1:32" x14ac:dyDescent="0.25">
      <c r="A654" s="21" t="s">
        <v>1352</v>
      </c>
      <c r="B654" s="3" t="s">
        <v>1353</v>
      </c>
      <c r="C654" s="3" t="s">
        <v>19</v>
      </c>
      <c r="D654" s="4">
        <v>43993</v>
      </c>
      <c r="E654" s="4">
        <v>47645</v>
      </c>
      <c r="F654" s="3">
        <v>1000000</v>
      </c>
      <c r="G654" s="3" t="s">
        <v>20</v>
      </c>
      <c r="H654" s="3">
        <v>1044000</v>
      </c>
      <c r="I654" s="3" t="s">
        <v>20</v>
      </c>
      <c r="J654" s="3">
        <v>104.4</v>
      </c>
      <c r="K654" s="3">
        <v>1</v>
      </c>
      <c r="L654" s="5">
        <v>7.7499999999999999E-2</v>
      </c>
      <c r="M654" s="3" t="s">
        <v>21</v>
      </c>
      <c r="N654" s="3">
        <v>1728</v>
      </c>
      <c r="O654" s="6">
        <f>Table1[[#This Row],[Current coupon %]]*Table1[[#This Row],[Face value]]/Table1[[#This Row],[Ask Price]]</f>
        <v>7.4233716475095787E-2</v>
      </c>
      <c r="P654" s="3" t="s">
        <v>54</v>
      </c>
      <c r="Q654" s="3" t="s">
        <v>22</v>
      </c>
      <c r="R654">
        <f t="shared" si="10"/>
        <v>10</v>
      </c>
      <c r="S654" s="22" cm="1">
        <f t="array" ref="S654">_xlfn.IFS(Table1[[#This Row],[Coupon frequency]]="Semi-annual",2,Table1[[#This Row],[Coupon frequency]]="Quarterly",4,Table1[[#This Row],[Coupon frequency]]="Annual",1,Table1[[#This Row],[Coupon frequency]]="Every 4 months",3,Table1[[#This Row],[Coupon frequency]]="Monthly",12)</f>
        <v>1</v>
      </c>
      <c r="T654">
        <f>Table1[[#This Row],[Term to Maturity (Years)]]*Table1[[#This Row],[Coupon Frequency2]]</f>
        <v>10</v>
      </c>
      <c r="U654">
        <f>Table1[[#This Row],[Face value]]*Table1[[#This Row],[Current coupon %]]/Table1[[#This Row],[Coupon Frequency2]]</f>
        <v>77500</v>
      </c>
      <c r="V654" s="23">
        <f>RATE(Table1[[#This Row],[Total No. of Coupons]],Table1[[#This Row],[Coupon Amount]],-Table1[[#This Row],[Ask Price]],Table1[[#This Row],[Face value]])</f>
        <v>7.1200578246765137E-2</v>
      </c>
      <c r="W654" s="24">
        <f>Table1[[#This Row],[IRR]]*Table1[[#This Row],[Coupon Frequency2]]</f>
        <v>7.1200578246765137E-2</v>
      </c>
      <c r="X654" s="25" cm="1">
        <f t="array" ref="X6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4" s="26">
        <f>DURATION(Table1[[#This Row],[Issue date]],Table1[[#This Row],[Maturity date]],Table1[[#This Row],[Current coupon %]],Table1[[#This Row],[Yield (Annualised)]],Table1[[#This Row],[Coupon Frequency2]])</f>
        <v>7.3748247675002983</v>
      </c>
      <c r="Z654" s="26">
        <f>Table1[[#This Row],[Macaulay Duration in Years]]/(1+Table1[[#This Row],[IRR]])</f>
        <v>6.8846347894720896</v>
      </c>
      <c r="AA654" s="27">
        <f>VLOOKUP(Table1[[#This Row],[Yield Cluster]],'[1]Cluster Details'!$B$3:$C$16,2,0)</f>
        <v>7.8548801574189142E-2</v>
      </c>
      <c r="AB654" s="28">
        <f>PRICE(Table1[[#This Row],[Issue date]],Table1[[#This Row],[Maturity date]],Table1[[#This Row],[Current coupon %]],Table1[[#This Row],[Average Cluster Yield]],100,Table1[[#This Row],[Coupon Frequency2]])*Table1[[#This Row],[Face value]]/100</f>
        <v>992916.15757592977</v>
      </c>
      <c r="AC654" s="27" t="str">
        <f>IF(Table1[[#This Row],[Ask Price]]&gt;Table1[[#This Row],[Calculated Bond Price]],"Rich","Cheap")</f>
        <v>Rich</v>
      </c>
      <c r="AD654" s="28">
        <f>PRICE(Table1[[#This Row],[Issue date]],Table1[[#This Row],[Maturity date]],Table1[[#This Row],[Current coupon %]],Table1[[#This Row],[Yield (Annualised)]]+$AE$2,100,Table1[[#This Row],[Coupon Frequency2]])*Table1[[#This Row],[Face value]]/100</f>
        <v>975302.72429117409</v>
      </c>
      <c r="AE654" s="28">
        <f>PRICE(Table1[[#This Row],[Issue date]],Table1[[#This Row],[Maturity date]],Table1[[#This Row],[Current coupon %]],Table1[[#This Row],[Yield (Annualised)]]-$AE$2,100,Table1[[#This Row],[Coupon Frequency2]])*Table1[[#This Row],[Face value]]/100</f>
        <v>1119285.7381223235</v>
      </c>
      <c r="AF654" s="28">
        <f>(Table1[[#This Row],[P (+ shock)]]+Table1[[#This Row],[P (-shock)]]-2*Table1[[#This Row],[Ask Price]])/(2*Table1[[#This Row],[Ask Price]]*($AE$2^2))</f>
        <v>31.553938761962328</v>
      </c>
    </row>
    <row r="655" spans="1:32" x14ac:dyDescent="0.25">
      <c r="A655" s="21" t="s">
        <v>1354</v>
      </c>
      <c r="B655" s="3" t="s">
        <v>1355</v>
      </c>
      <c r="C655" s="3" t="s">
        <v>19</v>
      </c>
      <c r="D655" s="4">
        <v>44306</v>
      </c>
      <c r="E655" s="4">
        <v>46132</v>
      </c>
      <c r="F655" s="3">
        <v>1000</v>
      </c>
      <c r="G655" s="3" t="s">
        <v>20</v>
      </c>
      <c r="H655" s="3">
        <v>1023.8</v>
      </c>
      <c r="I655" s="3" t="s">
        <v>20</v>
      </c>
      <c r="J655" s="3">
        <v>102.38</v>
      </c>
      <c r="K655" s="3">
        <v>100</v>
      </c>
      <c r="L655" s="5">
        <v>7.5999999999999998E-2</v>
      </c>
      <c r="M655" s="3" t="s">
        <v>21</v>
      </c>
      <c r="N655" s="3">
        <v>215</v>
      </c>
      <c r="O655" s="6">
        <f>Table1[[#This Row],[Current coupon %]]*Table1[[#This Row],[Face value]]/Table1[[#This Row],[Ask Price]]</f>
        <v>7.4233248681383091E-2</v>
      </c>
      <c r="P655" s="3" t="s">
        <v>97</v>
      </c>
      <c r="Q655" s="3" t="s">
        <v>22</v>
      </c>
      <c r="R655">
        <f t="shared" si="10"/>
        <v>5</v>
      </c>
      <c r="S655" s="22" cm="1">
        <f t="array" ref="S655">_xlfn.IFS(Table1[[#This Row],[Coupon frequency]]="Semi-annual",2,Table1[[#This Row],[Coupon frequency]]="Quarterly",4,Table1[[#This Row],[Coupon frequency]]="Annual",1,Table1[[#This Row],[Coupon frequency]]="Every 4 months",3,Table1[[#This Row],[Coupon frequency]]="Monthly",12)</f>
        <v>1</v>
      </c>
      <c r="T655">
        <f>Table1[[#This Row],[Term to Maturity (Years)]]*Table1[[#This Row],[Coupon Frequency2]]</f>
        <v>5</v>
      </c>
      <c r="U655">
        <f>Table1[[#This Row],[Face value]]*Table1[[#This Row],[Current coupon %]]/Table1[[#This Row],[Coupon Frequency2]]</f>
        <v>76</v>
      </c>
      <c r="V655" s="23">
        <f>RATE(Table1[[#This Row],[Total No. of Coupons]],Table1[[#This Row],[Coupon Amount]],-Table1[[#This Row],[Ask Price]],Table1[[#This Row],[Face value]])</f>
        <v>7.0192410719631088E-2</v>
      </c>
      <c r="W655" s="24">
        <f>Table1[[#This Row],[IRR]]*Table1[[#This Row],[Coupon Frequency2]]</f>
        <v>7.0192410719631088E-2</v>
      </c>
      <c r="X655" s="25" cm="1">
        <f t="array" ref="X6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5" s="26">
        <f>DURATION(Table1[[#This Row],[Issue date]],Table1[[#This Row],[Maturity date]],Table1[[#This Row],[Current coupon %]],Table1[[#This Row],[Yield (Annualised)]],Table1[[#This Row],[Coupon Frequency2]])</f>
        <v>4.3503787727251231</v>
      </c>
      <c r="Z655" s="26">
        <f>Table1[[#This Row],[Macaulay Duration in Years]]/(1+Table1[[#This Row],[IRR]])</f>
        <v>4.0650435652031875</v>
      </c>
      <c r="AA655" s="27">
        <f>VLOOKUP(Table1[[#This Row],[Yield Cluster]],'[1]Cluster Details'!$B$3:$C$16,2,0)</f>
        <v>7.8548801574189142E-2</v>
      </c>
      <c r="AB655" s="28">
        <f>PRICE(Table1[[#This Row],[Issue date]],Table1[[#This Row],[Maturity date]],Table1[[#This Row],[Current coupon %]],Table1[[#This Row],[Average Cluster Yield]],100,Table1[[#This Row],[Coupon Frequency2]])*Table1[[#This Row],[Face value]]/100</f>
        <v>989.78433157271536</v>
      </c>
      <c r="AC655" s="27" t="str">
        <f>IF(Table1[[#This Row],[Ask Price]]&gt;Table1[[#This Row],[Calculated Bond Price]],"Rich","Cheap")</f>
        <v>Rich</v>
      </c>
      <c r="AD655" s="28">
        <f>PRICE(Table1[[#This Row],[Issue date]],Table1[[#This Row],[Maturity date]],Table1[[#This Row],[Current coupon %]],Table1[[#This Row],[Yield (Annualised)]]+$AE$2,100,Table1[[#This Row],[Coupon Frequency2]])*Table1[[#This Row],[Face value]]/100</f>
        <v>983.26940495971508</v>
      </c>
      <c r="AE655" s="28">
        <f>PRICE(Table1[[#This Row],[Issue date]],Table1[[#This Row],[Maturity date]],Table1[[#This Row],[Current coupon %]],Table1[[#This Row],[Yield (Annualised)]]-$AE$2,100,Table1[[#This Row],[Coupon Frequency2]])*Table1[[#This Row],[Face value]]/100</f>
        <v>1066.5524769002468</v>
      </c>
      <c r="AF655" s="28">
        <f>(Table1[[#This Row],[P (+ shock)]]+Table1[[#This Row],[P (-shock)]]-2*Table1[[#This Row],[Ask Price]])/(2*Table1[[#This Row],[Ask Price]]*($AE$2^2))</f>
        <v>10.851151884946965</v>
      </c>
    </row>
    <row r="656" spans="1:32" x14ac:dyDescent="0.25">
      <c r="A656" s="21" t="s">
        <v>1356</v>
      </c>
      <c r="B656" s="3" t="s">
        <v>1357</v>
      </c>
      <c r="C656" s="3" t="s">
        <v>19</v>
      </c>
      <c r="D656" s="4">
        <v>41541</v>
      </c>
      <c r="E656" s="4">
        <v>47020</v>
      </c>
      <c r="F656" s="3">
        <v>1000</v>
      </c>
      <c r="G656" s="3" t="s">
        <v>20</v>
      </c>
      <c r="H656" s="3">
        <v>1140.05</v>
      </c>
      <c r="I656" s="3" t="s">
        <v>20</v>
      </c>
      <c r="J656" s="3">
        <v>114.005</v>
      </c>
      <c r="K656" s="3">
        <v>488</v>
      </c>
      <c r="L656" s="5">
        <v>8.4600000000000009E-2</v>
      </c>
      <c r="M656" s="3" t="s">
        <v>21</v>
      </c>
      <c r="N656" s="3">
        <v>1103</v>
      </c>
      <c r="O656" s="6">
        <f>Table1[[#This Row],[Current coupon %]]*Table1[[#This Row],[Face value]]/Table1[[#This Row],[Ask Price]]</f>
        <v>7.4207271610894271E-2</v>
      </c>
      <c r="P656" s="3"/>
      <c r="Q656" s="3" t="s">
        <v>22</v>
      </c>
      <c r="R656">
        <f t="shared" si="10"/>
        <v>15</v>
      </c>
      <c r="S656" s="22" cm="1">
        <f t="array" ref="S656">_xlfn.IFS(Table1[[#This Row],[Coupon frequency]]="Semi-annual",2,Table1[[#This Row],[Coupon frequency]]="Quarterly",4,Table1[[#This Row],[Coupon frequency]]="Annual",1,Table1[[#This Row],[Coupon frequency]]="Every 4 months",3,Table1[[#This Row],[Coupon frequency]]="Monthly",12)</f>
        <v>1</v>
      </c>
      <c r="T656">
        <f>Table1[[#This Row],[Term to Maturity (Years)]]*Table1[[#This Row],[Coupon Frequency2]]</f>
        <v>15</v>
      </c>
      <c r="U656">
        <f>Table1[[#This Row],[Face value]]*Table1[[#This Row],[Current coupon %]]/Table1[[#This Row],[Coupon Frequency2]]</f>
        <v>84.600000000000009</v>
      </c>
      <c r="V656" s="23">
        <f>RATE(Table1[[#This Row],[Total No. of Coupons]],Table1[[#This Row],[Coupon Amount]],-Table1[[#This Row],[Ask Price]],Table1[[#This Row],[Face value]])</f>
        <v>6.9291957899214676E-2</v>
      </c>
      <c r="W656" s="24">
        <f>Table1[[#This Row],[IRR]]*Table1[[#This Row],[Coupon Frequency2]]</f>
        <v>6.9291957899214676E-2</v>
      </c>
      <c r="X656" s="25" cm="1">
        <f t="array" ref="X6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6" s="26">
        <f>DURATION(Table1[[#This Row],[Issue date]],Table1[[#This Row],[Maturity date]],Table1[[#This Row],[Current coupon %]],Table1[[#This Row],[Yield (Annualised)]],Table1[[#This Row],[Coupon Frequency2]])</f>
        <v>9.4126290000971693</v>
      </c>
      <c r="Z656" s="26">
        <f>Table1[[#This Row],[Macaulay Duration in Years]]/(1+Table1[[#This Row],[IRR]])</f>
        <v>8.802674452531841</v>
      </c>
      <c r="AA656" s="27">
        <f>VLOOKUP(Table1[[#This Row],[Yield Cluster]],'[1]Cluster Details'!$B$3:$C$16,2,0)</f>
        <v>7.8548801574189142E-2</v>
      </c>
      <c r="AB656" s="28">
        <f>PRICE(Table1[[#This Row],[Issue date]],Table1[[#This Row],[Maturity date]],Table1[[#This Row],[Current coupon %]],Table1[[#This Row],[Average Cluster Yield]],100,Table1[[#This Row],[Coupon Frequency2]])*Table1[[#This Row],[Face value]]/100</f>
        <v>1052.2572370956123</v>
      </c>
      <c r="AC656" s="27" t="str">
        <f>IF(Table1[[#This Row],[Ask Price]]&gt;Table1[[#This Row],[Calculated Bond Price]],"Rich","Cheap")</f>
        <v>Rich</v>
      </c>
      <c r="AD656" s="28">
        <f>PRICE(Table1[[#This Row],[Issue date]],Table1[[#This Row],[Maturity date]],Table1[[#This Row],[Current coupon %]],Table1[[#This Row],[Yield (Annualised)]]+$AE$2,100,Table1[[#This Row],[Coupon Frequency2]])*Table1[[#This Row],[Face value]]/100</f>
        <v>1045.6311595093755</v>
      </c>
      <c r="AE656" s="28">
        <f>PRICE(Table1[[#This Row],[Issue date]],Table1[[#This Row],[Maturity date]],Table1[[#This Row],[Current coupon %]],Table1[[#This Row],[Yield (Annualised)]]-$AE$2,100,Table1[[#This Row],[Coupon Frequency2]])*Table1[[#This Row],[Face value]]/100</f>
        <v>1246.939149735515</v>
      </c>
      <c r="AF656" s="28">
        <f>(Table1[[#This Row],[P (+ shock)]]+Table1[[#This Row],[P (-shock)]]-2*Table1[[#This Row],[Ask Price]])/(2*Table1[[#This Row],[Ask Price]]*($AE$2^2))</f>
        <v>54.691940024079464</v>
      </c>
    </row>
    <row r="657" spans="1:32" x14ac:dyDescent="0.25">
      <c r="A657" s="21" t="s">
        <v>1358</v>
      </c>
      <c r="B657" s="3" t="s">
        <v>1359</v>
      </c>
      <c r="C657" s="3" t="s">
        <v>19</v>
      </c>
      <c r="D657" s="4">
        <v>44859</v>
      </c>
      <c r="E657" s="4">
        <v>53990</v>
      </c>
      <c r="F657" s="3">
        <v>400</v>
      </c>
      <c r="G657" s="3" t="s">
        <v>20</v>
      </c>
      <c r="H657" s="3">
        <v>426</v>
      </c>
      <c r="I657" s="3" t="s">
        <v>20</v>
      </c>
      <c r="J657" s="3">
        <v>106.5</v>
      </c>
      <c r="K657" s="3">
        <v>73</v>
      </c>
      <c r="L657" s="5">
        <v>7.9000000000000001E-2</v>
      </c>
      <c r="M657" s="3" t="s">
        <v>53</v>
      </c>
      <c r="N657" s="3">
        <v>8073</v>
      </c>
      <c r="O657" s="6">
        <f>Table1[[#This Row],[Current coupon %]]*Table1[[#This Row],[Face value]]/Table1[[#This Row],[Ask Price]]</f>
        <v>7.4178403755868552E-2</v>
      </c>
      <c r="P657" s="3"/>
      <c r="Q657" s="3" t="s">
        <v>22</v>
      </c>
      <c r="R657">
        <f t="shared" si="10"/>
        <v>25</v>
      </c>
      <c r="S657" s="22" cm="1">
        <f t="array" ref="S657">_xlfn.IFS(Table1[[#This Row],[Coupon frequency]]="Semi-annual",2,Table1[[#This Row],[Coupon frequency]]="Quarterly",4,Table1[[#This Row],[Coupon frequency]]="Annual",1,Table1[[#This Row],[Coupon frequency]]="Every 4 months",3,Table1[[#This Row],[Coupon frequency]]="Monthly",12)</f>
        <v>2</v>
      </c>
      <c r="T657">
        <f>Table1[[#This Row],[Term to Maturity (Years)]]*Table1[[#This Row],[Coupon Frequency2]]</f>
        <v>50</v>
      </c>
      <c r="U657">
        <f>Table1[[#This Row],[Face value]]*Table1[[#This Row],[Current coupon %]]/Table1[[#This Row],[Coupon Frequency2]]</f>
        <v>15.8</v>
      </c>
      <c r="V657" s="23">
        <f>RATE(Table1[[#This Row],[Total No. of Coupons]],Table1[[#This Row],[Coupon Amount]],-Table1[[#This Row],[Ask Price]],Table1[[#This Row],[Face value]])</f>
        <v>3.6646026082780045E-2</v>
      </c>
      <c r="W657" s="24">
        <f>Table1[[#This Row],[IRR]]*Table1[[#This Row],[Coupon Frequency2]]</f>
        <v>7.329205216556009E-2</v>
      </c>
      <c r="X657" s="25" cm="1">
        <f t="array" ref="X6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7" s="26">
        <f>DURATION(Table1[[#This Row],[Issue date]],Table1[[#This Row],[Maturity date]],Table1[[#This Row],[Current coupon %]],Table1[[#This Row],[Yield (Annualised)]],Table1[[#This Row],[Coupon Frequency2]])</f>
        <v>11.645368364515903</v>
      </c>
      <c r="Z657" s="26">
        <f>Table1[[#This Row],[Macaulay Duration in Years]]/(1+Table1[[#This Row],[IRR]])</f>
        <v>11.233697975499668</v>
      </c>
      <c r="AA657" s="27">
        <f>VLOOKUP(Table1[[#This Row],[Yield Cluster]],'[1]Cluster Details'!$B$3:$C$16,2,0)</f>
        <v>7.8548801574189142E-2</v>
      </c>
      <c r="AB657" s="28">
        <f>PRICE(Table1[[#This Row],[Issue date]],Table1[[#This Row],[Maturity date]],Table1[[#This Row],[Current coupon %]],Table1[[#This Row],[Average Cluster Yield]],100,Table1[[#This Row],[Coupon Frequency2]])*Table1[[#This Row],[Face value]]/100</f>
        <v>401.9628787457134</v>
      </c>
      <c r="AC657" s="27" t="str">
        <f>IF(Table1[[#This Row],[Ask Price]]&gt;Table1[[#This Row],[Calculated Bond Price]],"Rich","Cheap")</f>
        <v>Rich</v>
      </c>
      <c r="AD657" s="28">
        <f>PRICE(Table1[[#This Row],[Issue date]],Table1[[#This Row],[Maturity date]],Table1[[#This Row],[Current coupon %]],Table1[[#This Row],[Yield (Annualised)]]+$AE$2,100,Table1[[#This Row],[Coupon Frequency2]])*Table1[[#This Row],[Face value]]/100</f>
        <v>382.06780661971914</v>
      </c>
      <c r="AE657" s="28">
        <f>PRICE(Table1[[#This Row],[Issue date]],Table1[[#This Row],[Maturity date]],Table1[[#This Row],[Current coupon %]],Table1[[#This Row],[Yield (Annualised)]]-$AE$2,100,Table1[[#This Row],[Coupon Frequency2]])*Table1[[#This Row],[Face value]]/100</f>
        <v>478.36565084722662</v>
      </c>
      <c r="AF657" s="28">
        <f>(Table1[[#This Row],[P (+ shock)]]+Table1[[#This Row],[P (-shock)]]-2*Table1[[#This Row],[Ask Price]])/(2*Table1[[#This Row],[Ask Price]]*($AE$2^2))</f>
        <v>98.984242569786517</v>
      </c>
    </row>
    <row r="658" spans="1:32" x14ac:dyDescent="0.25">
      <c r="A658" s="21" t="s">
        <v>1360</v>
      </c>
      <c r="B658" s="3" t="s">
        <v>1361</v>
      </c>
      <c r="C658" s="3" t="s">
        <v>19</v>
      </c>
      <c r="D658" s="4">
        <v>44901</v>
      </c>
      <c r="E658" s="4">
        <v>48554</v>
      </c>
      <c r="F658" s="3">
        <v>1000000</v>
      </c>
      <c r="G658" s="3" t="s">
        <v>20</v>
      </c>
      <c r="H658" s="3">
        <v>1012704.6</v>
      </c>
      <c r="I658" s="3" t="s">
        <v>20</v>
      </c>
      <c r="J658" s="3">
        <v>101.27046</v>
      </c>
      <c r="K658" s="3">
        <v>6</v>
      </c>
      <c r="L658" s="5">
        <v>7.51E-2</v>
      </c>
      <c r="M658" s="3" t="s">
        <v>21</v>
      </c>
      <c r="N658" s="3">
        <v>2637</v>
      </c>
      <c r="O658" s="6">
        <f>Table1[[#This Row],[Current coupon %]]*Table1[[#This Row],[Face value]]/Table1[[#This Row],[Ask Price]]</f>
        <v>7.4157854126464917E-2</v>
      </c>
      <c r="P658" s="3" t="s">
        <v>297</v>
      </c>
      <c r="Q658" s="3" t="s">
        <v>22</v>
      </c>
      <c r="R658">
        <f t="shared" si="10"/>
        <v>10</v>
      </c>
      <c r="S658" s="22" cm="1">
        <f t="array" ref="S658">_xlfn.IFS(Table1[[#This Row],[Coupon frequency]]="Semi-annual",2,Table1[[#This Row],[Coupon frequency]]="Quarterly",4,Table1[[#This Row],[Coupon frequency]]="Annual",1,Table1[[#This Row],[Coupon frequency]]="Every 4 months",3,Table1[[#This Row],[Coupon frequency]]="Monthly",12)</f>
        <v>1</v>
      </c>
      <c r="T658">
        <f>Table1[[#This Row],[Term to Maturity (Years)]]*Table1[[#This Row],[Coupon Frequency2]]</f>
        <v>10</v>
      </c>
      <c r="U658">
        <f>Table1[[#This Row],[Face value]]*Table1[[#This Row],[Current coupon %]]/Table1[[#This Row],[Coupon Frequency2]]</f>
        <v>75100</v>
      </c>
      <c r="V658" s="23">
        <f>RATE(Table1[[#This Row],[Total No. of Coupons]],Table1[[#This Row],[Coupon Amount]],-Table1[[#This Row],[Ask Price]],Table1[[#This Row],[Face value]])</f>
        <v>7.3263765026507902E-2</v>
      </c>
      <c r="W658" s="24">
        <f>Table1[[#This Row],[IRR]]*Table1[[#This Row],[Coupon Frequency2]]</f>
        <v>7.3263765026507902E-2</v>
      </c>
      <c r="X658" s="25" cm="1">
        <f t="array" ref="X6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8" s="26">
        <f>DURATION(Table1[[#This Row],[Issue date]],Table1[[#This Row],[Maturity date]],Table1[[#This Row],[Current coupon %]],Table1[[#This Row],[Yield (Annualised)]],Table1[[#This Row],[Coupon Frequency2]])</f>
        <v>7.3943153148144418</v>
      </c>
      <c r="Z658" s="26">
        <f>Table1[[#This Row],[Macaulay Duration in Years]]/(1+Table1[[#This Row],[IRR]])</f>
        <v>6.8895601955142993</v>
      </c>
      <c r="AA658" s="27">
        <f>VLOOKUP(Table1[[#This Row],[Yield Cluster]],'[1]Cluster Details'!$B$3:$C$16,2,0)</f>
        <v>7.8548801574189142E-2</v>
      </c>
      <c r="AB658" s="28">
        <f>PRICE(Table1[[#This Row],[Issue date]],Table1[[#This Row],[Maturity date]],Table1[[#This Row],[Current coupon %]],Table1[[#This Row],[Average Cluster Yield]],100,Table1[[#This Row],[Coupon Frequency2]])*Table1[[#This Row],[Face value]]/100</f>
        <v>976706.01617629081</v>
      </c>
      <c r="AC658" s="27" t="str">
        <f>IF(Table1[[#This Row],[Ask Price]]&gt;Table1[[#This Row],[Calculated Bond Price]],"Rich","Cheap")</f>
        <v>Rich</v>
      </c>
      <c r="AD658" s="28">
        <f>PRICE(Table1[[#This Row],[Issue date]],Table1[[#This Row],[Maturity date]],Table1[[#This Row],[Current coupon %]],Table1[[#This Row],[Yield (Annualised)]]+$AE$2,100,Table1[[#This Row],[Coupon Frequency2]])*Table1[[#This Row],[Face value]]/100</f>
        <v>946017.81726959685</v>
      </c>
      <c r="AE658" s="28">
        <f>PRICE(Table1[[#This Row],[Issue date]],Table1[[#This Row],[Maturity date]],Table1[[#This Row],[Current coupon %]],Table1[[#This Row],[Yield (Annualised)]]-$AE$2,100,Table1[[#This Row],[Coupon Frequency2]])*Table1[[#This Row],[Face value]]/100</f>
        <v>1085784.3448933172</v>
      </c>
      <c r="AF658" s="28">
        <f>(Table1[[#This Row],[P (+ shock)]]+Table1[[#This Row],[P (-shock)]]-2*Table1[[#This Row],[Ask Price]])/(2*Table1[[#This Row],[Ask Price]]*($AE$2^2))</f>
        <v>31.563805293833894</v>
      </c>
    </row>
    <row r="659" spans="1:32" x14ac:dyDescent="0.25">
      <c r="A659" s="21" t="s">
        <v>1362</v>
      </c>
      <c r="B659" s="3" t="s">
        <v>1363</v>
      </c>
      <c r="C659" s="3" t="s">
        <v>19</v>
      </c>
      <c r="D659" s="4">
        <v>44322</v>
      </c>
      <c r="E659" s="4">
        <v>46148</v>
      </c>
      <c r="F659" s="3">
        <v>1000</v>
      </c>
      <c r="G659" s="3" t="s">
        <v>20</v>
      </c>
      <c r="H659" s="3">
        <v>1026</v>
      </c>
      <c r="I659" s="3" t="s">
        <v>20</v>
      </c>
      <c r="J659" s="3">
        <v>102.6</v>
      </c>
      <c r="K659" s="3">
        <v>10</v>
      </c>
      <c r="L659" s="5">
        <v>7.5999999999999998E-2</v>
      </c>
      <c r="M659" s="3" t="s">
        <v>21</v>
      </c>
      <c r="N659" s="3">
        <v>231</v>
      </c>
      <c r="O659" s="6">
        <f>Table1[[#This Row],[Current coupon %]]*Table1[[#This Row],[Face value]]/Table1[[#This Row],[Ask Price]]</f>
        <v>7.407407407407407E-2</v>
      </c>
      <c r="P659" s="3"/>
      <c r="Q659" s="3" t="s">
        <v>22</v>
      </c>
      <c r="R659">
        <f t="shared" si="10"/>
        <v>5</v>
      </c>
      <c r="S659" s="22" cm="1">
        <f t="array" ref="S659">_xlfn.IFS(Table1[[#This Row],[Coupon frequency]]="Semi-annual",2,Table1[[#This Row],[Coupon frequency]]="Quarterly",4,Table1[[#This Row],[Coupon frequency]]="Annual",1,Table1[[#This Row],[Coupon frequency]]="Every 4 months",3,Table1[[#This Row],[Coupon frequency]]="Monthly",12)</f>
        <v>1</v>
      </c>
      <c r="T659">
        <f>Table1[[#This Row],[Term to Maturity (Years)]]*Table1[[#This Row],[Coupon Frequency2]]</f>
        <v>5</v>
      </c>
      <c r="U659">
        <f>Table1[[#This Row],[Face value]]*Table1[[#This Row],[Current coupon %]]/Table1[[#This Row],[Coupon Frequency2]]</f>
        <v>76</v>
      </c>
      <c r="V659" s="23">
        <f>RATE(Table1[[#This Row],[Total No. of Coupons]],Table1[[#This Row],[Coupon Amount]],-Table1[[#This Row],[Ask Price]],Table1[[#This Row],[Face value]])</f>
        <v>6.9664536598121718E-2</v>
      </c>
      <c r="W659" s="24">
        <f>Table1[[#This Row],[IRR]]*Table1[[#This Row],[Coupon Frequency2]]</f>
        <v>6.9664536598121718E-2</v>
      </c>
      <c r="X659" s="25" cm="1">
        <f t="array" ref="X6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59" s="26">
        <f>DURATION(Table1[[#This Row],[Issue date]],Table1[[#This Row],[Maturity date]],Table1[[#This Row],[Current coupon %]],Table1[[#This Row],[Yield (Annualised)]],Table1[[#This Row],[Coupon Frequency2]])</f>
        <v>4.3511529569772165</v>
      </c>
      <c r="Z659" s="26">
        <f>Table1[[#This Row],[Macaulay Duration in Years]]/(1+Table1[[#This Row],[IRR]])</f>
        <v>4.0677734075538172</v>
      </c>
      <c r="AA659" s="27">
        <f>VLOOKUP(Table1[[#This Row],[Yield Cluster]],'[1]Cluster Details'!$B$3:$C$16,2,0)</f>
        <v>7.8548801574189142E-2</v>
      </c>
      <c r="AB659" s="28">
        <f>PRICE(Table1[[#This Row],[Issue date]],Table1[[#This Row],[Maturity date]],Table1[[#This Row],[Current coupon %]],Table1[[#This Row],[Average Cluster Yield]],100,Table1[[#This Row],[Coupon Frequency2]])*Table1[[#This Row],[Face value]]/100</f>
        <v>989.78433157271536</v>
      </c>
      <c r="AC659" s="27" t="str">
        <f>IF(Table1[[#This Row],[Ask Price]]&gt;Table1[[#This Row],[Calculated Bond Price]],"Rich","Cheap")</f>
        <v>Rich</v>
      </c>
      <c r="AD659" s="28">
        <f>PRICE(Table1[[#This Row],[Issue date]],Table1[[#This Row],[Maturity date]],Table1[[#This Row],[Current coupon %]],Table1[[#This Row],[Yield (Annualised)]]+$AE$2,100,Table1[[#This Row],[Coupon Frequency2]])*Table1[[#This Row],[Face value]]/100</f>
        <v>985.35562235999953</v>
      </c>
      <c r="AE659" s="28">
        <f>PRICE(Table1[[#This Row],[Issue date]],Table1[[#This Row],[Maturity date]],Table1[[#This Row],[Current coupon %]],Table1[[#This Row],[Yield (Annualised)]]-$AE$2,100,Table1[[#This Row],[Coupon Frequency2]])*Table1[[#This Row],[Face value]]/100</f>
        <v>1068.873756609381</v>
      </c>
      <c r="AF659" s="28">
        <f>(Table1[[#This Row],[P (+ shock)]]+Table1[[#This Row],[P (-shock)]]-2*Table1[[#This Row],[Ask Price]])/(2*Table1[[#This Row],[Ask Price]]*($AE$2^2))</f>
        <v>10.864419928754275</v>
      </c>
    </row>
    <row r="660" spans="1:32" x14ac:dyDescent="0.25">
      <c r="A660" s="21" t="s">
        <v>1364</v>
      </c>
      <c r="B660" s="3" t="s">
        <v>1365</v>
      </c>
      <c r="C660" s="3" t="s">
        <v>19</v>
      </c>
      <c r="D660" s="4">
        <v>41723</v>
      </c>
      <c r="E660" s="4">
        <v>47202</v>
      </c>
      <c r="F660" s="3">
        <v>1000</v>
      </c>
      <c r="G660" s="3" t="s">
        <v>20</v>
      </c>
      <c r="H660" s="3">
        <v>1182</v>
      </c>
      <c r="I660" s="3" t="s">
        <v>20</v>
      </c>
      <c r="J660" s="3">
        <v>118.19999999999899</v>
      </c>
      <c r="K660" s="3">
        <v>2000</v>
      </c>
      <c r="L660" s="5">
        <v>8.7499999999999994E-2</v>
      </c>
      <c r="M660" s="3" t="s">
        <v>21</v>
      </c>
      <c r="N660" s="3">
        <v>1285</v>
      </c>
      <c r="O660" s="6">
        <f>Table1[[#This Row],[Current coupon %]]*Table1[[#This Row],[Face value]]/Table1[[#This Row],[Ask Price]]</f>
        <v>7.402707275803723E-2</v>
      </c>
      <c r="P660" s="3"/>
      <c r="Q660" s="3" t="s">
        <v>22</v>
      </c>
      <c r="R660">
        <f t="shared" si="10"/>
        <v>15</v>
      </c>
      <c r="S660" s="22" cm="1">
        <f t="array" ref="S660">_xlfn.IFS(Table1[[#This Row],[Coupon frequency]]="Semi-annual",2,Table1[[#This Row],[Coupon frequency]]="Quarterly",4,Table1[[#This Row],[Coupon frequency]]="Annual",1,Table1[[#This Row],[Coupon frequency]]="Every 4 months",3,Table1[[#This Row],[Coupon frequency]]="Monthly",12)</f>
        <v>1</v>
      </c>
      <c r="T660">
        <f>Table1[[#This Row],[Term to Maturity (Years)]]*Table1[[#This Row],[Coupon Frequency2]]</f>
        <v>15</v>
      </c>
      <c r="U660">
        <f>Table1[[#This Row],[Face value]]*Table1[[#This Row],[Current coupon %]]/Table1[[#This Row],[Coupon Frequency2]]</f>
        <v>87.5</v>
      </c>
      <c r="V660" s="23">
        <f>RATE(Table1[[#This Row],[Total No. of Coupons]],Table1[[#This Row],[Coupon Amount]],-Table1[[#This Row],[Ask Price]],Table1[[#This Row],[Face value]])</f>
        <v>6.7794802533168025E-2</v>
      </c>
      <c r="W660" s="24">
        <f>Table1[[#This Row],[IRR]]*Table1[[#This Row],[Coupon Frequency2]]</f>
        <v>6.7794802533168025E-2</v>
      </c>
      <c r="X660" s="25" cm="1">
        <f t="array" ref="X6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0" s="26">
        <f>DURATION(Table1[[#This Row],[Issue date]],Table1[[#This Row],[Maturity date]],Table1[[#This Row],[Current coupon %]],Table1[[#This Row],[Yield (Annualised)]],Table1[[#This Row],[Coupon Frequency2]])</f>
        <v>9.3900039846561256</v>
      </c>
      <c r="Z660" s="26">
        <f>Table1[[#This Row],[Macaulay Duration in Years]]/(1+Table1[[#This Row],[IRR]])</f>
        <v>8.7938281422421998</v>
      </c>
      <c r="AA660" s="27">
        <f>VLOOKUP(Table1[[#This Row],[Yield Cluster]],'[1]Cluster Details'!$B$3:$C$16,2,0)</f>
        <v>7.8548801574189142E-2</v>
      </c>
      <c r="AB660" s="28">
        <f>PRICE(Table1[[#This Row],[Issue date]],Table1[[#This Row],[Maturity date]],Table1[[#This Row],[Current coupon %]],Table1[[#This Row],[Average Cluster Yield]],100,Table1[[#This Row],[Coupon Frequency2]])*Table1[[#This Row],[Face value]]/100</f>
        <v>1077.301199780899</v>
      </c>
      <c r="AC660" s="27" t="str">
        <f>IF(Table1[[#This Row],[Ask Price]]&gt;Table1[[#This Row],[Calculated Bond Price]],"Rich","Cheap")</f>
        <v>Rich</v>
      </c>
      <c r="AD660" s="28">
        <f>PRICE(Table1[[#This Row],[Issue date]],Table1[[#This Row],[Maturity date]],Table1[[#This Row],[Current coupon %]],Table1[[#This Row],[Yield (Annualised)]]+$AE$2,100,Table1[[#This Row],[Coupon Frequency2]])*Table1[[#This Row],[Face value]]/100</f>
        <v>1084.201780478558</v>
      </c>
      <c r="AE660" s="28">
        <f>PRICE(Table1[[#This Row],[Issue date]],Table1[[#This Row],[Maturity date]],Table1[[#This Row],[Current coupon %]],Table1[[#This Row],[Yield (Annualised)]]-$AE$2,100,Table1[[#This Row],[Coupon Frequency2]])*Table1[[#This Row],[Face value]]/100</f>
        <v>1292.7071266341545</v>
      </c>
      <c r="AF660" s="28">
        <f>(Table1[[#This Row],[P (+ shock)]]+Table1[[#This Row],[P (-shock)]]-2*Table1[[#This Row],[Ask Price]])/(2*Table1[[#This Row],[Ask Price]]*($AE$2^2))</f>
        <v>54.606206060544707</v>
      </c>
    </row>
    <row r="661" spans="1:32" x14ac:dyDescent="0.25">
      <c r="A661" s="21" t="s">
        <v>95</v>
      </c>
      <c r="B661" s="3" t="s">
        <v>96</v>
      </c>
      <c r="C661" s="3" t="s">
        <v>19</v>
      </c>
      <c r="D661" s="4">
        <v>45203</v>
      </c>
      <c r="E661" s="4">
        <v>45934</v>
      </c>
      <c r="F661" s="3">
        <v>1000</v>
      </c>
      <c r="G661" s="3" t="s">
        <v>20</v>
      </c>
      <c r="H661" s="3">
        <v>1052.52</v>
      </c>
      <c r="I661" s="3" t="s">
        <v>20</v>
      </c>
      <c r="J661" s="3">
        <v>105.252</v>
      </c>
      <c r="K661" s="3">
        <v>31</v>
      </c>
      <c r="L661" s="5">
        <v>7.7499999999999999E-2</v>
      </c>
      <c r="M661" s="3" t="s">
        <v>21</v>
      </c>
      <c r="N661" s="3">
        <v>17</v>
      </c>
      <c r="O661" s="6">
        <f>Table1[[#This Row],[Current coupon %]]*Table1[[#This Row],[Face value]]/Table1[[#This Row],[Ask Price]]</f>
        <v>7.3632805077338201E-2</v>
      </c>
      <c r="P661" s="3" t="s">
        <v>97</v>
      </c>
      <c r="Q661" s="3" t="s">
        <v>22</v>
      </c>
      <c r="R661">
        <f t="shared" si="10"/>
        <v>2</v>
      </c>
      <c r="S661" s="22" cm="1">
        <f t="array" ref="S661">_xlfn.IFS(Table1[[#This Row],[Coupon frequency]]="Semi-annual",2,Table1[[#This Row],[Coupon frequency]]="Quarterly",4,Table1[[#This Row],[Coupon frequency]]="Annual",1,Table1[[#This Row],[Coupon frequency]]="Every 4 months",3,Table1[[#This Row],[Coupon frequency]]="Monthly",12)</f>
        <v>1</v>
      </c>
      <c r="T661">
        <f>Table1[[#This Row],[Term to Maturity (Years)]]*Table1[[#This Row],[Coupon Frequency2]]</f>
        <v>2</v>
      </c>
      <c r="U661">
        <f>Table1[[#This Row],[Face value]]*Table1[[#This Row],[Current coupon %]]/Table1[[#This Row],[Coupon Frequency2]]</f>
        <v>77.5</v>
      </c>
      <c r="V661" s="23">
        <f>RATE(Table1[[#This Row],[Total No. of Coupons]],Table1[[#This Row],[Coupon Amount]],-Table1[[#This Row],[Ask Price]],Table1[[#This Row],[Face value]])</f>
        <v>4.9283173968295818E-2</v>
      </c>
      <c r="W661" s="24">
        <f>Table1[[#This Row],[IRR]]*Table1[[#This Row],[Coupon Frequency2]]</f>
        <v>4.9283173968295818E-2</v>
      </c>
      <c r="X661" s="25" cm="1">
        <f t="array" ref="X6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661" s="26">
        <f>DURATION(Table1[[#This Row],[Issue date]],Table1[[#This Row],[Maturity date]],Table1[[#This Row],[Current coupon %]],Table1[[#This Row],[Yield (Annualised)]],Table1[[#This Row],[Coupon Frequency2]])</f>
        <v>1.9298256115182866</v>
      </c>
      <c r="Z661" s="26">
        <f>Table1[[#This Row],[Macaulay Duration in Years]]/(1+Table1[[#This Row],[IRR]])</f>
        <v>1.8391847495465476</v>
      </c>
      <c r="AA661" s="27">
        <f>VLOOKUP(Table1[[#This Row],[Yield Cluster]],'[1]Cluster Details'!$B$3:$C$16,2,0)</f>
        <v>3.4641747232266588E-2</v>
      </c>
      <c r="AB661" s="28">
        <f>PRICE(Table1[[#This Row],[Issue date]],Table1[[#This Row],[Maturity date]],Table1[[#This Row],[Current coupon %]],Table1[[#This Row],[Average Cluster Yield]],100,Table1[[#This Row],[Coupon Frequency2]])*Table1[[#This Row],[Face value]]/100</f>
        <v>1081.4596269998965</v>
      </c>
      <c r="AC661" s="27" t="str">
        <f>IF(Table1[[#This Row],[Ask Price]]&gt;Table1[[#This Row],[Calculated Bond Price]],"Rich","Cheap")</f>
        <v>Cheap</v>
      </c>
      <c r="AD661" s="28">
        <f>PRICE(Table1[[#This Row],[Issue date]],Table1[[#This Row],[Maturity date]],Table1[[#This Row],[Current coupon %]],Table1[[#This Row],[Yield (Annualised)]]+$AE$2,100,Table1[[#This Row],[Coupon Frequency2]])*Table1[[#This Row],[Face value]]/100</f>
        <v>1033.4321752089827</v>
      </c>
      <c r="AE661" s="28">
        <f>PRICE(Table1[[#This Row],[Issue date]],Table1[[#This Row],[Maturity date]],Table1[[#This Row],[Current coupon %]],Table1[[#This Row],[Yield (Annualised)]]-$AE$2,100,Table1[[#This Row],[Coupon Frequency2]])*Table1[[#This Row],[Face value]]/100</f>
        <v>1072.1546557608842</v>
      </c>
      <c r="AF661" s="28">
        <f>(Table1[[#This Row],[P (+ shock)]]+Table1[[#This Row],[P (-shock)]]-2*Table1[[#This Row],[Ask Price]])/(2*Table1[[#This Row],[Ask Price]]*($AE$2^2))</f>
        <v>2.5977224654504778</v>
      </c>
    </row>
    <row r="662" spans="1:32" x14ac:dyDescent="0.25">
      <c r="A662" s="21" t="s">
        <v>1366</v>
      </c>
      <c r="B662" s="3" t="s">
        <v>1367</v>
      </c>
      <c r="C662" s="3" t="s">
        <v>19</v>
      </c>
      <c r="D662" s="4">
        <v>41522</v>
      </c>
      <c r="E662" s="4">
        <v>47001</v>
      </c>
      <c r="F662" s="3">
        <v>1000000</v>
      </c>
      <c r="G662" s="3" t="s">
        <v>20</v>
      </c>
      <c r="H662" s="3">
        <v>1151693</v>
      </c>
      <c r="I662" s="3" t="s">
        <v>20</v>
      </c>
      <c r="J662" s="3">
        <v>115.16930000000001</v>
      </c>
      <c r="K662" s="3">
        <v>500</v>
      </c>
      <c r="L662" s="5">
        <v>8.48E-2</v>
      </c>
      <c r="M662" s="3" t="s">
        <v>21</v>
      </c>
      <c r="N662" s="3">
        <v>1084</v>
      </c>
      <c r="O662" s="6">
        <f>Table1[[#This Row],[Current coupon %]]*Table1[[#This Row],[Face value]]/Table1[[#This Row],[Ask Price]]</f>
        <v>7.3630733190181763E-2</v>
      </c>
      <c r="P662" s="3" t="s">
        <v>54</v>
      </c>
      <c r="Q662" s="3" t="s">
        <v>22</v>
      </c>
      <c r="R662">
        <f t="shared" si="10"/>
        <v>15</v>
      </c>
      <c r="S662" s="22" cm="1">
        <f t="array" ref="S662">_xlfn.IFS(Table1[[#This Row],[Coupon frequency]]="Semi-annual",2,Table1[[#This Row],[Coupon frequency]]="Quarterly",4,Table1[[#This Row],[Coupon frequency]]="Annual",1,Table1[[#This Row],[Coupon frequency]]="Every 4 months",3,Table1[[#This Row],[Coupon frequency]]="Monthly",12)</f>
        <v>1</v>
      </c>
      <c r="T662">
        <f>Table1[[#This Row],[Term to Maturity (Years)]]*Table1[[#This Row],[Coupon Frequency2]]</f>
        <v>15</v>
      </c>
      <c r="U662">
        <f>Table1[[#This Row],[Face value]]*Table1[[#This Row],[Current coupon %]]/Table1[[#This Row],[Coupon Frequency2]]</f>
        <v>84800</v>
      </c>
      <c r="V662" s="23">
        <f>RATE(Table1[[#This Row],[Total No. of Coupons]],Table1[[#This Row],[Coupon Amount]],-Table1[[#This Row],[Ask Price]],Table1[[#This Row],[Face value]])</f>
        <v>6.8321102416475724E-2</v>
      </c>
      <c r="W662" s="24">
        <f>Table1[[#This Row],[IRR]]*Table1[[#This Row],[Coupon Frequency2]]</f>
        <v>6.8321102416475724E-2</v>
      </c>
      <c r="X662" s="25" cm="1">
        <f t="array" ref="X6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2" s="26">
        <f>DURATION(Table1[[#This Row],[Issue date]],Table1[[#This Row],[Maturity date]],Table1[[#This Row],[Current coupon %]],Table1[[#This Row],[Yield (Annualised)]],Table1[[#This Row],[Coupon Frequency2]])</f>
        <v>9.4327394137424942</v>
      </c>
      <c r="Z662" s="26">
        <f>Table1[[#This Row],[Macaulay Duration in Years]]/(1+Table1[[#This Row],[IRR]])</f>
        <v>8.8294983525142623</v>
      </c>
      <c r="AA662" s="27">
        <f>VLOOKUP(Table1[[#This Row],[Yield Cluster]],'[1]Cluster Details'!$B$3:$C$16,2,0)</f>
        <v>7.8548801574189142E-2</v>
      </c>
      <c r="AB662" s="28">
        <f>PRICE(Table1[[#This Row],[Issue date]],Table1[[#This Row],[Maturity date]],Table1[[#This Row],[Current coupon %]],Table1[[#This Row],[Average Cluster Yield]],100,Table1[[#This Row],[Coupon Frequency2]])*Table1[[#This Row],[Face value]]/100</f>
        <v>1053984.4069359768</v>
      </c>
      <c r="AC662" s="27" t="str">
        <f>IF(Table1[[#This Row],[Ask Price]]&gt;Table1[[#This Row],[Calculated Bond Price]],"Rich","Cheap")</f>
        <v>Rich</v>
      </c>
      <c r="AD662" s="28">
        <f>PRICE(Table1[[#This Row],[Issue date]],Table1[[#This Row],[Maturity date]],Table1[[#This Row],[Current coupon %]],Table1[[#This Row],[Yield (Annualised)]]+$AE$2,100,Table1[[#This Row],[Coupon Frequency2]])*Table1[[#This Row],[Face value]]/100</f>
        <v>1056029.039799303</v>
      </c>
      <c r="AE662" s="28">
        <f>PRICE(Table1[[#This Row],[Issue date]],Table1[[#This Row],[Maturity date]],Table1[[#This Row],[Current coupon %]],Table1[[#This Row],[Yield (Annualised)]]-$AE$2,100,Table1[[#This Row],[Coupon Frequency2]])*Table1[[#This Row],[Face value]]/100</f>
        <v>1260014.4155422815</v>
      </c>
      <c r="AF662" s="28">
        <f>(Table1[[#This Row],[P (+ shock)]]+Table1[[#This Row],[P (-shock)]]-2*Table1[[#This Row],[Ask Price]])/(2*Table1[[#This Row],[Ask Price]]*($AE$2^2))</f>
        <v>54.9515163397907</v>
      </c>
    </row>
    <row r="663" spans="1:32" x14ac:dyDescent="0.25">
      <c r="A663" s="21" t="s">
        <v>1368</v>
      </c>
      <c r="B663" s="3" t="s">
        <v>1369</v>
      </c>
      <c r="C663" s="3" t="s">
        <v>19</v>
      </c>
      <c r="D663" s="4">
        <v>44218</v>
      </c>
      <c r="E663" s="4">
        <v>47870</v>
      </c>
      <c r="F663" s="3">
        <v>1000</v>
      </c>
      <c r="G663" s="3" t="s">
        <v>20</v>
      </c>
      <c r="H663" s="3">
        <v>901.40002000000004</v>
      </c>
      <c r="I663" s="3" t="s">
        <v>20</v>
      </c>
      <c r="J663" s="3">
        <v>90.140001999999996</v>
      </c>
      <c r="K663" s="3">
        <v>2192</v>
      </c>
      <c r="L663" s="5">
        <v>6.6299999999999998E-2</v>
      </c>
      <c r="M663" s="3" t="s">
        <v>44</v>
      </c>
      <c r="N663" s="3">
        <v>1953</v>
      </c>
      <c r="O663" s="6">
        <f>Table1[[#This Row],[Current coupon %]]*Table1[[#This Row],[Face value]]/Table1[[#This Row],[Ask Price]]</f>
        <v>7.3552250420407125E-2</v>
      </c>
      <c r="P663" s="3" t="s">
        <v>54</v>
      </c>
      <c r="Q663" s="3" t="s">
        <v>22</v>
      </c>
      <c r="R663">
        <f t="shared" si="10"/>
        <v>10</v>
      </c>
      <c r="S663" s="22" cm="1">
        <f t="array" ref="S663">_xlfn.IFS(Table1[[#This Row],[Coupon frequency]]="Semi-annual",2,Table1[[#This Row],[Coupon frequency]]="Quarterly",4,Table1[[#This Row],[Coupon frequency]]="Annual",1,Table1[[#This Row],[Coupon frequency]]="Every 4 months",3,Table1[[#This Row],[Coupon frequency]]="Monthly",12)</f>
        <v>4</v>
      </c>
      <c r="T663">
        <f>Table1[[#This Row],[Term to Maturity (Years)]]*Table1[[#This Row],[Coupon Frequency2]]</f>
        <v>40</v>
      </c>
      <c r="U663">
        <f>Table1[[#This Row],[Face value]]*Table1[[#This Row],[Current coupon %]]/Table1[[#This Row],[Coupon Frequency2]]</f>
        <v>16.574999999999999</v>
      </c>
      <c r="V663" s="23">
        <f>RATE(Table1[[#This Row],[Total No. of Coupons]],Table1[[#This Row],[Coupon Amount]],-Table1[[#This Row],[Ask Price]],Table1[[#This Row],[Face value]])</f>
        <v>2.0191513100250077E-2</v>
      </c>
      <c r="W663" s="24">
        <f>Table1[[#This Row],[IRR]]*Table1[[#This Row],[Coupon Frequency2]]</f>
        <v>8.0766052401000307E-2</v>
      </c>
      <c r="X663" s="25" cm="1">
        <f t="array" ref="X6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3" s="26">
        <f>DURATION(Table1[[#This Row],[Issue date]],Table1[[#This Row],[Maturity date]],Table1[[#This Row],[Current coupon %]],Table1[[#This Row],[Yield (Annualised)]],Table1[[#This Row],[Coupon Frequency2]])</f>
        <v>7.2256785054850674</v>
      </c>
      <c r="Z663" s="26">
        <f>Table1[[#This Row],[Macaulay Duration in Years]]/(1+Table1[[#This Row],[IRR]])</f>
        <v>7.0826687074929913</v>
      </c>
      <c r="AA663" s="27">
        <f>VLOOKUP(Table1[[#This Row],[Yield Cluster]],'[1]Cluster Details'!$B$3:$C$16,2,0)</f>
        <v>7.8548801574189142E-2</v>
      </c>
      <c r="AB663" s="28">
        <f>PRICE(Table1[[#This Row],[Issue date]],Table1[[#This Row],[Maturity date]],Table1[[#This Row],[Current coupon %]],Table1[[#This Row],[Average Cluster Yield]],100,Table1[[#This Row],[Coupon Frequency2]])*Table1[[#This Row],[Face value]]/100</f>
        <v>915.69656730629868</v>
      </c>
      <c r="AC663" s="27" t="str">
        <f>IF(Table1[[#This Row],[Ask Price]]&gt;Table1[[#This Row],[Calculated Bond Price]],"Rich","Cheap")</f>
        <v>Cheap</v>
      </c>
      <c r="AD663" s="28">
        <f>PRICE(Table1[[#This Row],[Issue date]],Table1[[#This Row],[Maturity date]],Table1[[#This Row],[Current coupon %]],Table1[[#This Row],[Yield (Annualised)]]+$AE$2,100,Table1[[#This Row],[Coupon Frequency2]])*Table1[[#This Row],[Face value]]/100</f>
        <v>840.31304555160807</v>
      </c>
      <c r="AE663" s="28">
        <f>PRICE(Table1[[#This Row],[Issue date]],Table1[[#This Row],[Maturity date]],Table1[[#This Row],[Current coupon %]],Table1[[#This Row],[Yield (Annualised)]]-$AE$2,100,Table1[[#This Row],[Coupon Frequency2]])*Table1[[#This Row],[Face value]]/100</f>
        <v>968.18330210308693</v>
      </c>
      <c r="AF663" s="28">
        <f>(Table1[[#This Row],[P (+ shock)]]+Table1[[#This Row],[P (-shock)]]-2*Table1[[#This Row],[Ask Price]])/(2*Table1[[#This Row],[Ask Price]]*($AE$2^2))</f>
        <v>31.59700204297155</v>
      </c>
    </row>
    <row r="664" spans="1:32" x14ac:dyDescent="0.25">
      <c r="A664" s="21" t="s">
        <v>1370</v>
      </c>
      <c r="B664" s="3" t="s">
        <v>1371</v>
      </c>
      <c r="C664" s="3" t="s">
        <v>19</v>
      </c>
      <c r="D664" s="4">
        <v>43706</v>
      </c>
      <c r="E664" s="4">
        <v>49185</v>
      </c>
      <c r="F664" s="3">
        <v>1000000</v>
      </c>
      <c r="G664" s="3" t="s">
        <v>20</v>
      </c>
      <c r="H664" s="3">
        <v>1019000</v>
      </c>
      <c r="I664" s="3" t="s">
        <v>20</v>
      </c>
      <c r="J664" s="3">
        <v>101.899999999999</v>
      </c>
      <c r="K664" s="3">
        <v>10</v>
      </c>
      <c r="L664" s="5">
        <v>7.4800000000000005E-2</v>
      </c>
      <c r="M664" s="3" t="s">
        <v>21</v>
      </c>
      <c r="N664" s="3">
        <v>3268</v>
      </c>
      <c r="O664" s="6">
        <f>Table1[[#This Row],[Current coupon %]]*Table1[[#This Row],[Face value]]/Table1[[#This Row],[Ask Price]]</f>
        <v>7.3405299313052008E-2</v>
      </c>
      <c r="P664" s="3" t="s">
        <v>297</v>
      </c>
      <c r="Q664" s="3" t="s">
        <v>22</v>
      </c>
      <c r="R664">
        <f t="shared" si="10"/>
        <v>15</v>
      </c>
      <c r="S664" s="22" cm="1">
        <f t="array" ref="S664">_xlfn.IFS(Table1[[#This Row],[Coupon frequency]]="Semi-annual",2,Table1[[#This Row],[Coupon frequency]]="Quarterly",4,Table1[[#This Row],[Coupon frequency]]="Annual",1,Table1[[#This Row],[Coupon frequency]]="Every 4 months",3,Table1[[#This Row],[Coupon frequency]]="Monthly",12)</f>
        <v>1</v>
      </c>
      <c r="T664">
        <f>Table1[[#This Row],[Term to Maturity (Years)]]*Table1[[#This Row],[Coupon Frequency2]]</f>
        <v>15</v>
      </c>
      <c r="U664">
        <f>Table1[[#This Row],[Face value]]*Table1[[#This Row],[Current coupon %]]/Table1[[#This Row],[Coupon Frequency2]]</f>
        <v>74800</v>
      </c>
      <c r="V664" s="23">
        <f>RATE(Table1[[#This Row],[Total No. of Coupons]],Table1[[#This Row],[Coupon Amount]],-Table1[[#This Row],[Ask Price]],Table1[[#This Row],[Face value]])</f>
        <v>7.2678472324190446E-2</v>
      </c>
      <c r="W664" s="24">
        <f>Table1[[#This Row],[IRR]]*Table1[[#This Row],[Coupon Frequency2]]</f>
        <v>7.2678472324190446E-2</v>
      </c>
      <c r="X664" s="25" cm="1">
        <f t="array" ref="X6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4" s="26">
        <f>DURATION(Table1[[#This Row],[Issue date]],Table1[[#This Row],[Maturity date]],Table1[[#This Row],[Current coupon %]],Table1[[#This Row],[Yield (Annualised)]],Table1[[#This Row],[Coupon Frequency2]])</f>
        <v>9.5527691246220332</v>
      </c>
      <c r="Z664" s="26">
        <f>Table1[[#This Row],[Macaulay Duration in Years]]/(1+Table1[[#This Row],[IRR]])</f>
        <v>8.9055288896810687</v>
      </c>
      <c r="AA664" s="27">
        <f>VLOOKUP(Table1[[#This Row],[Yield Cluster]],'[1]Cluster Details'!$B$3:$C$16,2,0)</f>
        <v>7.8548801574189142E-2</v>
      </c>
      <c r="AB664" s="28">
        <f>PRICE(Table1[[#This Row],[Issue date]],Table1[[#This Row],[Maturity date]],Table1[[#This Row],[Current coupon %]],Table1[[#This Row],[Average Cluster Yield]],100,Table1[[#This Row],[Coupon Frequency2]])*Table1[[#This Row],[Face value]]/100</f>
        <v>967625.91491774679</v>
      </c>
      <c r="AC664" s="27" t="str">
        <f>IF(Table1[[#This Row],[Ask Price]]&gt;Table1[[#This Row],[Calculated Bond Price]],"Rich","Cheap")</f>
        <v>Rich</v>
      </c>
      <c r="AD664" s="28">
        <f>PRICE(Table1[[#This Row],[Issue date]],Table1[[#This Row],[Maturity date]],Table1[[#This Row],[Current coupon %]],Table1[[#This Row],[Yield (Annualised)]]+$AE$2,100,Table1[[#This Row],[Coupon Frequency2]])*Table1[[#This Row],[Face value]]/100</f>
        <v>933653.40771738719</v>
      </c>
      <c r="AE664" s="28">
        <f>PRICE(Table1[[#This Row],[Issue date]],Table1[[#This Row],[Maturity date]],Table1[[#This Row],[Current coupon %]],Table1[[#This Row],[Yield (Annualised)]]-$AE$2,100,Table1[[#This Row],[Coupon Frequency2]])*Table1[[#This Row],[Face value]]/100</f>
        <v>1115694.044073554</v>
      </c>
      <c r="AF664" s="28">
        <f>(Table1[[#This Row],[P (+ shock)]]+Table1[[#This Row],[P (-shock)]]-2*Table1[[#This Row],[Ask Price]])/(2*Table1[[#This Row],[Ask Price]]*($AE$2^2))</f>
        <v>55.679351280378704</v>
      </c>
    </row>
    <row r="665" spans="1:32" x14ac:dyDescent="0.25">
      <c r="A665" s="21" t="s">
        <v>1372</v>
      </c>
      <c r="B665" s="3" t="s">
        <v>1373</v>
      </c>
      <c r="C665" s="3" t="s">
        <v>19</v>
      </c>
      <c r="D665" s="4">
        <v>40962</v>
      </c>
      <c r="E665" s="4">
        <v>46441</v>
      </c>
      <c r="F665" s="3">
        <v>1000</v>
      </c>
      <c r="G665" s="3" t="s">
        <v>20</v>
      </c>
      <c r="H665" s="3">
        <v>1108.5</v>
      </c>
      <c r="I665" s="3" t="s">
        <v>20</v>
      </c>
      <c r="J665" s="3">
        <v>110.85</v>
      </c>
      <c r="K665" s="3">
        <v>350</v>
      </c>
      <c r="L665" s="5">
        <v>8.1000000000000003E-2</v>
      </c>
      <c r="M665" s="3" t="s">
        <v>21</v>
      </c>
      <c r="N665" s="3">
        <v>524</v>
      </c>
      <c r="O665" s="6">
        <f>Table1[[#This Row],[Current coupon %]]*Table1[[#This Row],[Face value]]/Table1[[#This Row],[Ask Price]]</f>
        <v>7.307171853856563E-2</v>
      </c>
      <c r="P665" s="3" t="s">
        <v>297</v>
      </c>
      <c r="Q665" s="3" t="s">
        <v>22</v>
      </c>
      <c r="R665">
        <f t="shared" si="10"/>
        <v>15</v>
      </c>
      <c r="S665" s="22" cm="1">
        <f t="array" ref="S665">_xlfn.IFS(Table1[[#This Row],[Coupon frequency]]="Semi-annual",2,Table1[[#This Row],[Coupon frequency]]="Quarterly",4,Table1[[#This Row],[Coupon frequency]]="Annual",1,Table1[[#This Row],[Coupon frequency]]="Every 4 months",3,Table1[[#This Row],[Coupon frequency]]="Monthly",12)</f>
        <v>1</v>
      </c>
      <c r="T665">
        <f>Table1[[#This Row],[Term to Maturity (Years)]]*Table1[[#This Row],[Coupon Frequency2]]</f>
        <v>15</v>
      </c>
      <c r="U665">
        <f>Table1[[#This Row],[Face value]]*Table1[[#This Row],[Current coupon %]]/Table1[[#This Row],[Coupon Frequency2]]</f>
        <v>81</v>
      </c>
      <c r="V665" s="23">
        <f>RATE(Table1[[#This Row],[Total No. of Coupons]],Table1[[#This Row],[Coupon Amount]],-Table1[[#This Row],[Ask Price]],Table1[[#This Row],[Face value]])</f>
        <v>6.9151078818487574E-2</v>
      </c>
      <c r="W665" s="24">
        <f>Table1[[#This Row],[IRR]]*Table1[[#This Row],[Coupon Frequency2]]</f>
        <v>6.9151078818487574E-2</v>
      </c>
      <c r="X665" s="25" cm="1">
        <f t="array" ref="X6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5" s="26">
        <f>DURATION(Table1[[#This Row],[Issue date]],Table1[[#This Row],[Maturity date]],Table1[[#This Row],[Current coupon %]],Table1[[#This Row],[Yield (Annualised)]],Table1[[#This Row],[Coupon Frequency2]])</f>
        <v>9.4947842924253223</v>
      </c>
      <c r="Z665" s="26">
        <f>Table1[[#This Row],[Macaulay Duration in Years]]/(1+Table1[[#This Row],[IRR]])</f>
        <v>8.880675968561853</v>
      </c>
      <c r="AA665" s="27">
        <f>VLOOKUP(Table1[[#This Row],[Yield Cluster]],'[1]Cluster Details'!$B$3:$C$16,2,0)</f>
        <v>7.8548801574189142E-2</v>
      </c>
      <c r="AB665" s="28">
        <f>PRICE(Table1[[#This Row],[Issue date]],Table1[[#This Row],[Maturity date]],Table1[[#This Row],[Current coupon %]],Table1[[#This Row],[Average Cluster Yield]],100,Table1[[#This Row],[Coupon Frequency2]])*Table1[[#This Row],[Face value]]/100</f>
        <v>1021.1681799690496</v>
      </c>
      <c r="AC665" s="27" t="str">
        <f>IF(Table1[[#This Row],[Ask Price]]&gt;Table1[[#This Row],[Calculated Bond Price]],"Rich","Cheap")</f>
        <v>Rich</v>
      </c>
      <c r="AD665" s="28">
        <f>PRICE(Table1[[#This Row],[Issue date]],Table1[[#This Row],[Maturity date]],Table1[[#This Row],[Current coupon %]],Table1[[#This Row],[Yield (Annualised)]]+$AE$2,100,Table1[[#This Row],[Coupon Frequency2]])*Table1[[#This Row],[Face value]]/100</f>
        <v>1015.9081658613973</v>
      </c>
      <c r="AE665" s="28">
        <f>PRICE(Table1[[#This Row],[Issue date]],Table1[[#This Row],[Maturity date]],Table1[[#This Row],[Current coupon %]],Table1[[#This Row],[Yield (Annualised)]]-$AE$2,100,Table1[[#This Row],[Coupon Frequency2]])*Table1[[#This Row],[Face value]]/100</f>
        <v>1213.3841813613165</v>
      </c>
      <c r="AF665" s="28">
        <f>(Table1[[#This Row],[P (+ shock)]]+Table1[[#This Row],[P (-shock)]]-2*Table1[[#This Row],[Ask Price]])/(2*Table1[[#This Row],[Ask Price]]*($AE$2^2))</f>
        <v>55.445860273856304</v>
      </c>
    </row>
    <row r="666" spans="1:32" x14ac:dyDescent="0.25">
      <c r="A666" s="21" t="s">
        <v>1374</v>
      </c>
      <c r="B666" s="3" t="s">
        <v>1375</v>
      </c>
      <c r="C666" s="3" t="s">
        <v>19</v>
      </c>
      <c r="D666" s="4">
        <v>44798</v>
      </c>
      <c r="E666" s="4">
        <v>46624</v>
      </c>
      <c r="F666" s="3">
        <v>1000000</v>
      </c>
      <c r="G666" s="3" t="s">
        <v>20</v>
      </c>
      <c r="H666" s="3">
        <v>1041076</v>
      </c>
      <c r="I666" s="3" t="s">
        <v>20</v>
      </c>
      <c r="J666" s="3">
        <v>104.107599999999</v>
      </c>
      <c r="K666" s="3">
        <v>1</v>
      </c>
      <c r="L666" s="5">
        <v>7.5999999999999998E-2</v>
      </c>
      <c r="M666" s="3" t="s">
        <v>21</v>
      </c>
      <c r="N666" s="3">
        <v>707</v>
      </c>
      <c r="O666" s="6">
        <f>Table1[[#This Row],[Current coupon %]]*Table1[[#This Row],[Face value]]/Table1[[#This Row],[Ask Price]]</f>
        <v>7.3001394710856843E-2</v>
      </c>
      <c r="P666" s="3" t="s">
        <v>297</v>
      </c>
      <c r="Q666" s="3" t="s">
        <v>22</v>
      </c>
      <c r="R666">
        <f t="shared" si="10"/>
        <v>5</v>
      </c>
      <c r="S666" s="22" cm="1">
        <f t="array" ref="S666">_xlfn.IFS(Table1[[#This Row],[Coupon frequency]]="Semi-annual",2,Table1[[#This Row],[Coupon frequency]]="Quarterly",4,Table1[[#This Row],[Coupon frequency]]="Annual",1,Table1[[#This Row],[Coupon frequency]]="Every 4 months",3,Table1[[#This Row],[Coupon frequency]]="Monthly",12)</f>
        <v>1</v>
      </c>
      <c r="T666">
        <f>Table1[[#This Row],[Term to Maturity (Years)]]*Table1[[#This Row],[Coupon Frequency2]]</f>
        <v>5</v>
      </c>
      <c r="U666">
        <f>Table1[[#This Row],[Face value]]*Table1[[#This Row],[Current coupon %]]/Table1[[#This Row],[Coupon Frequency2]]</f>
        <v>76000</v>
      </c>
      <c r="V666" s="23">
        <f>RATE(Table1[[#This Row],[Total No. of Coupons]],Table1[[#This Row],[Coupon Amount]],-Table1[[#This Row],[Ask Price]],Table1[[#This Row],[Face value]])</f>
        <v>6.6086689545933983E-2</v>
      </c>
      <c r="W666" s="24">
        <f>Table1[[#This Row],[IRR]]*Table1[[#This Row],[Coupon Frequency2]]</f>
        <v>6.6086689545933983E-2</v>
      </c>
      <c r="X666" s="25" cm="1">
        <f t="array" ref="X6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6" s="26">
        <f>DURATION(Table1[[#This Row],[Issue date]],Table1[[#This Row],[Maturity date]],Table1[[#This Row],[Current coupon %]],Table1[[#This Row],[Yield (Annualised)]],Table1[[#This Row],[Coupon Frequency2]])</f>
        <v>4.3563885101623665</v>
      </c>
      <c r="Z666" s="26">
        <f>Table1[[#This Row],[Macaulay Duration in Years]]/(1+Table1[[#This Row],[IRR]])</f>
        <v>4.0863360858748106</v>
      </c>
      <c r="AA666" s="27">
        <f>VLOOKUP(Table1[[#This Row],[Yield Cluster]],'[1]Cluster Details'!$B$3:$C$16,2,0)</f>
        <v>7.8548801574189142E-2</v>
      </c>
      <c r="AB666" s="28">
        <f>PRICE(Table1[[#This Row],[Issue date]],Table1[[#This Row],[Maturity date]],Table1[[#This Row],[Current coupon %]],Table1[[#This Row],[Average Cluster Yield]],100,Table1[[#This Row],[Coupon Frequency2]])*Table1[[#This Row],[Face value]]/100</f>
        <v>989784.33157271519</v>
      </c>
      <c r="AC666" s="27" t="str">
        <f>IF(Table1[[#This Row],[Ask Price]]&gt;Table1[[#This Row],[Calculated Bond Price]],"Rich","Cheap")</f>
        <v>Rich</v>
      </c>
      <c r="AD666" s="28">
        <f>PRICE(Table1[[#This Row],[Issue date]],Table1[[#This Row],[Maturity date]],Table1[[#This Row],[Current coupon %]],Table1[[#This Row],[Yield (Annualised)]]+$AE$2,100,Table1[[#This Row],[Coupon Frequency2]])*Table1[[#This Row],[Face value]]/100</f>
        <v>999650.27423325181</v>
      </c>
      <c r="AE666" s="28">
        <f>PRICE(Table1[[#This Row],[Issue date]],Table1[[#This Row],[Maturity date]],Table1[[#This Row],[Current coupon %]],Table1[[#This Row],[Yield (Annualised)]]-$AE$2,100,Table1[[#This Row],[Coupon Frequency2]])*Table1[[#This Row],[Face value]]/100</f>
        <v>1084782.6955835519</v>
      </c>
      <c r="AF666" s="28">
        <f>(Table1[[#This Row],[P (+ shock)]]+Table1[[#This Row],[P (-shock)]]-2*Table1[[#This Row],[Ask Price]])/(2*Table1[[#This Row],[Ask Price]]*($AE$2^2))</f>
        <v>10.954866968423531</v>
      </c>
    </row>
    <row r="667" spans="1:32" x14ac:dyDescent="0.25">
      <c r="A667" s="21" t="s">
        <v>1376</v>
      </c>
      <c r="B667" s="3" t="s">
        <v>1377</v>
      </c>
      <c r="C667" s="3" t="s">
        <v>19</v>
      </c>
      <c r="D667" s="4">
        <v>44735</v>
      </c>
      <c r="E667" s="4">
        <v>47292</v>
      </c>
      <c r="F667" s="3">
        <v>1000</v>
      </c>
      <c r="G667" s="3" t="s">
        <v>20</v>
      </c>
      <c r="H667" s="3">
        <v>1030</v>
      </c>
      <c r="I667" s="3" t="s">
        <v>20</v>
      </c>
      <c r="J667" s="3">
        <v>103</v>
      </c>
      <c r="K667" s="3">
        <v>363</v>
      </c>
      <c r="L667" s="5">
        <v>7.4999999999999997E-2</v>
      </c>
      <c r="M667" s="3" t="s">
        <v>21</v>
      </c>
      <c r="N667" s="3">
        <v>1375</v>
      </c>
      <c r="O667" s="6">
        <f>Table1[[#This Row],[Current coupon %]]*Table1[[#This Row],[Face value]]/Table1[[#This Row],[Ask Price]]</f>
        <v>7.281553398058252E-2</v>
      </c>
      <c r="P667" s="3" t="s">
        <v>97</v>
      </c>
      <c r="Q667" s="3" t="s">
        <v>22</v>
      </c>
      <c r="R667">
        <f t="shared" si="10"/>
        <v>7</v>
      </c>
      <c r="S667" s="22" cm="1">
        <f t="array" ref="S667">_xlfn.IFS(Table1[[#This Row],[Coupon frequency]]="Semi-annual",2,Table1[[#This Row],[Coupon frequency]]="Quarterly",4,Table1[[#This Row],[Coupon frequency]]="Annual",1,Table1[[#This Row],[Coupon frequency]]="Every 4 months",3,Table1[[#This Row],[Coupon frequency]]="Monthly",12)</f>
        <v>1</v>
      </c>
      <c r="T667">
        <f>Table1[[#This Row],[Term to Maturity (Years)]]*Table1[[#This Row],[Coupon Frequency2]]</f>
        <v>7</v>
      </c>
      <c r="U667">
        <f>Table1[[#This Row],[Face value]]*Table1[[#This Row],[Current coupon %]]/Table1[[#This Row],[Coupon Frequency2]]</f>
        <v>75</v>
      </c>
      <c r="V667" s="23">
        <f>RATE(Table1[[#This Row],[Total No. of Coupons]],Table1[[#This Row],[Coupon Amount]],-Table1[[#This Row],[Ask Price]],Table1[[#This Row],[Face value]])</f>
        <v>6.944418547388917E-2</v>
      </c>
      <c r="W667" s="24">
        <f>Table1[[#This Row],[IRR]]*Table1[[#This Row],[Coupon Frequency2]]</f>
        <v>6.944418547388917E-2</v>
      </c>
      <c r="X667" s="25" cm="1">
        <f t="array" ref="X6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7" s="26">
        <f>DURATION(Table1[[#This Row],[Issue date]],Table1[[#This Row],[Maturity date]],Table1[[#This Row],[Current coupon %]],Table1[[#This Row],[Yield (Annualised)]],Table1[[#This Row],[Coupon Frequency2]])</f>
        <v>5.7152454685462892</v>
      </c>
      <c r="Z667" s="26">
        <f>Table1[[#This Row],[Macaulay Duration in Years]]/(1+Table1[[#This Row],[IRR]])</f>
        <v>5.3441269270296372</v>
      </c>
      <c r="AA667" s="27">
        <f>VLOOKUP(Table1[[#This Row],[Yield Cluster]],'[1]Cluster Details'!$B$3:$C$16,2,0)</f>
        <v>7.8548801574189142E-2</v>
      </c>
      <c r="AB667" s="28">
        <f>PRICE(Table1[[#This Row],[Issue date]],Table1[[#This Row],[Maturity date]],Table1[[#This Row],[Current coupon %]],Table1[[#This Row],[Average Cluster Yield]],100,Table1[[#This Row],[Coupon Frequency2]])*Table1[[#This Row],[Face value]]/100</f>
        <v>981.43156797419465</v>
      </c>
      <c r="AC667" s="27" t="str">
        <f>IF(Table1[[#This Row],[Ask Price]]&gt;Table1[[#This Row],[Calculated Bond Price]],"Rich","Cheap")</f>
        <v>Rich</v>
      </c>
      <c r="AD667" s="28">
        <f>PRICE(Table1[[#This Row],[Issue date]],Table1[[#This Row],[Maturity date]],Table1[[#This Row],[Current coupon %]],Table1[[#This Row],[Yield (Annualised)]]+$AE$2,100,Table1[[#This Row],[Coupon Frequency2]])*Table1[[#This Row],[Face value]]/100</f>
        <v>976.81787692303931</v>
      </c>
      <c r="AE667" s="28">
        <f>PRICE(Table1[[#This Row],[Issue date]],Table1[[#This Row],[Maturity date]],Table1[[#This Row],[Current coupon %]],Table1[[#This Row],[Yield (Annualised)]]-$AE$2,100,Table1[[#This Row],[Coupon Frequency2]])*Table1[[#This Row],[Face value]]/100</f>
        <v>1087.0103056447508</v>
      </c>
      <c r="AF667" s="28">
        <f>(Table1[[#This Row],[P (+ shock)]]+Table1[[#This Row],[P (-shock)]]-2*Table1[[#This Row],[Ask Price]])/(2*Table1[[#This Row],[Ask Price]]*($AE$2^2))</f>
        <v>18.583410523252468</v>
      </c>
    </row>
    <row r="668" spans="1:32" x14ac:dyDescent="0.25">
      <c r="A668" s="21" t="s">
        <v>1378</v>
      </c>
      <c r="B668" s="3" t="s">
        <v>1379</v>
      </c>
      <c r="C668" s="3" t="s">
        <v>19</v>
      </c>
      <c r="D668" s="4">
        <v>43966</v>
      </c>
      <c r="E668" s="4">
        <v>47679</v>
      </c>
      <c r="F668" s="3">
        <v>1000000</v>
      </c>
      <c r="G668" s="3" t="s">
        <v>20</v>
      </c>
      <c r="H668" s="3">
        <v>1055000</v>
      </c>
      <c r="I668" s="3" t="s">
        <v>20</v>
      </c>
      <c r="J668" s="3">
        <v>105.5</v>
      </c>
      <c r="K668" s="3">
        <v>1</v>
      </c>
      <c r="L668" s="5">
        <v>7.6799999999999993E-2</v>
      </c>
      <c r="M668" s="3" t="s">
        <v>21</v>
      </c>
      <c r="N668" s="3">
        <v>1762</v>
      </c>
      <c r="O668" s="6">
        <f>Table1[[#This Row],[Current coupon %]]*Table1[[#This Row],[Face value]]/Table1[[#This Row],[Ask Price]]</f>
        <v>7.2796208530805692E-2</v>
      </c>
      <c r="P668" s="3" t="s">
        <v>54</v>
      </c>
      <c r="Q668" s="3" t="s">
        <v>22</v>
      </c>
      <c r="R668">
        <f t="shared" si="10"/>
        <v>10</v>
      </c>
      <c r="S668" s="22" cm="1">
        <f t="array" ref="S668">_xlfn.IFS(Table1[[#This Row],[Coupon frequency]]="Semi-annual",2,Table1[[#This Row],[Coupon frequency]]="Quarterly",4,Table1[[#This Row],[Coupon frequency]]="Annual",1,Table1[[#This Row],[Coupon frequency]]="Every 4 months",3,Table1[[#This Row],[Coupon frequency]]="Monthly",12)</f>
        <v>1</v>
      </c>
      <c r="T668">
        <f>Table1[[#This Row],[Term to Maturity (Years)]]*Table1[[#This Row],[Coupon Frequency2]]</f>
        <v>10</v>
      </c>
      <c r="U668">
        <f>Table1[[#This Row],[Face value]]*Table1[[#This Row],[Current coupon %]]/Table1[[#This Row],[Coupon Frequency2]]</f>
        <v>76800</v>
      </c>
      <c r="V668" s="23">
        <f>RATE(Table1[[#This Row],[Total No. of Coupons]],Table1[[#This Row],[Coupon Amount]],-Table1[[#This Row],[Ask Price]],Table1[[#This Row],[Face value]])</f>
        <v>6.9005207713299113E-2</v>
      </c>
      <c r="W668" s="24">
        <f>Table1[[#This Row],[IRR]]*Table1[[#This Row],[Coupon Frequency2]]</f>
        <v>6.9005207713299113E-2</v>
      </c>
      <c r="X668" s="25" cm="1">
        <f t="array" ref="X6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8" s="26">
        <f>DURATION(Table1[[#This Row],[Issue date]],Table1[[#This Row],[Maturity date]],Table1[[#This Row],[Current coupon %]],Table1[[#This Row],[Yield (Annualised)]],Table1[[#This Row],[Coupon Frequency2]])</f>
        <v>7.0718970919659672</v>
      </c>
      <c r="Z668" s="26">
        <f>Table1[[#This Row],[Macaulay Duration in Years]]/(1+Table1[[#This Row],[IRR]])</f>
        <v>6.6154000382218978</v>
      </c>
      <c r="AA668" s="27">
        <f>VLOOKUP(Table1[[#This Row],[Yield Cluster]],'[1]Cluster Details'!$B$3:$C$16,2,0)</f>
        <v>7.8548801574189142E-2</v>
      </c>
      <c r="AB668" s="28">
        <f>PRICE(Table1[[#This Row],[Issue date]],Table1[[#This Row],[Maturity date]],Table1[[#This Row],[Current coupon %]],Table1[[#This Row],[Average Cluster Yield]],100,Table1[[#This Row],[Coupon Frequency2]])*Table1[[#This Row],[Face value]]/100</f>
        <v>987650.65246285393</v>
      </c>
      <c r="AC668" s="27" t="str">
        <f>IF(Table1[[#This Row],[Ask Price]]&gt;Table1[[#This Row],[Calculated Bond Price]],"Rich","Cheap")</f>
        <v>Rich</v>
      </c>
      <c r="AD668" s="28">
        <f>PRICE(Table1[[#This Row],[Issue date]],Table1[[#This Row],[Maturity date]],Table1[[#This Row],[Current coupon %]],Table1[[#This Row],[Yield (Annualised)]]+$AE$2,100,Table1[[#This Row],[Coupon Frequency2]])*Table1[[#This Row],[Face value]]/100</f>
        <v>984562.98630211886</v>
      </c>
      <c r="AE668" s="28">
        <f>PRICE(Table1[[#This Row],[Issue date]],Table1[[#This Row],[Maturity date]],Table1[[#This Row],[Current coupon %]],Table1[[#This Row],[Yield (Annualised)]]-$AE$2,100,Table1[[#This Row],[Coupon Frequency2]])*Table1[[#This Row],[Face value]]/100</f>
        <v>1132899.5318553536</v>
      </c>
      <c r="AF668" s="28">
        <f>(Table1[[#This Row],[P (+ shock)]]+Table1[[#This Row],[P (-shock)]]-2*Table1[[#This Row],[Ask Price]])/(2*Table1[[#This Row],[Ask Price]]*($AE$2^2))</f>
        <v>35.367384632570463</v>
      </c>
    </row>
    <row r="669" spans="1:32" x14ac:dyDescent="0.25">
      <c r="A669" s="21" t="s">
        <v>1380</v>
      </c>
      <c r="B669" s="3" t="s">
        <v>1381</v>
      </c>
      <c r="C669" s="3" t="s">
        <v>19</v>
      </c>
      <c r="D669" s="4">
        <v>41624</v>
      </c>
      <c r="E669" s="4">
        <v>47103</v>
      </c>
      <c r="F669" s="3">
        <v>1000</v>
      </c>
      <c r="G669" s="3" t="s">
        <v>20</v>
      </c>
      <c r="H669" s="3">
        <v>1167</v>
      </c>
      <c r="I669" s="3" t="s">
        <v>20</v>
      </c>
      <c r="J669" s="3">
        <v>116.7</v>
      </c>
      <c r="K669" s="3">
        <v>1005</v>
      </c>
      <c r="L669" s="5">
        <v>8.48E-2</v>
      </c>
      <c r="M669" s="3" t="s">
        <v>21</v>
      </c>
      <c r="N669" s="3">
        <v>1186</v>
      </c>
      <c r="O669" s="6">
        <f>Table1[[#This Row],[Current coupon %]]*Table1[[#This Row],[Face value]]/Table1[[#This Row],[Ask Price]]</f>
        <v>7.2664952870608396E-2</v>
      </c>
      <c r="P669" s="3" t="s">
        <v>297</v>
      </c>
      <c r="Q669" s="3" t="s">
        <v>22</v>
      </c>
      <c r="R669">
        <f t="shared" si="10"/>
        <v>15</v>
      </c>
      <c r="S669" s="22" cm="1">
        <f t="array" ref="S669">_xlfn.IFS(Table1[[#This Row],[Coupon frequency]]="Semi-annual",2,Table1[[#This Row],[Coupon frequency]]="Quarterly",4,Table1[[#This Row],[Coupon frequency]]="Annual",1,Table1[[#This Row],[Coupon frequency]]="Every 4 months",3,Table1[[#This Row],[Coupon frequency]]="Monthly",12)</f>
        <v>1</v>
      </c>
      <c r="T669">
        <f>Table1[[#This Row],[Term to Maturity (Years)]]*Table1[[#This Row],[Coupon Frequency2]]</f>
        <v>15</v>
      </c>
      <c r="U669">
        <f>Table1[[#This Row],[Face value]]*Table1[[#This Row],[Current coupon %]]/Table1[[#This Row],[Coupon Frequency2]]</f>
        <v>84.8</v>
      </c>
      <c r="V669" s="23">
        <f>RATE(Table1[[#This Row],[Total No. of Coupons]],Table1[[#This Row],[Coupon Amount]],-Table1[[#This Row],[Ask Price]],Table1[[#This Row],[Face value]])</f>
        <v>6.6829737947642839E-2</v>
      </c>
      <c r="W669" s="24">
        <f>Table1[[#This Row],[IRR]]*Table1[[#This Row],[Coupon Frequency2]]</f>
        <v>6.6829737947642839E-2</v>
      </c>
      <c r="X669" s="25" cm="1">
        <f t="array" ref="X6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69" s="26">
        <f>DURATION(Table1[[#This Row],[Issue date]],Table1[[#This Row],[Maturity date]],Table1[[#This Row],[Current coupon %]],Table1[[#This Row],[Yield (Annualised)]],Table1[[#This Row],[Coupon Frequency2]])</f>
        <v>9.4701227201321689</v>
      </c>
      <c r="Z669" s="26">
        <f>Table1[[#This Row],[Macaulay Duration in Years]]/(1+Table1[[#This Row],[IRR]])</f>
        <v>8.8768829582410245</v>
      </c>
      <c r="AA669" s="27">
        <f>VLOOKUP(Table1[[#This Row],[Yield Cluster]],'[1]Cluster Details'!$B$3:$C$16,2,0)</f>
        <v>7.8548801574189142E-2</v>
      </c>
      <c r="AB669" s="28">
        <f>PRICE(Table1[[#This Row],[Issue date]],Table1[[#This Row],[Maturity date]],Table1[[#This Row],[Current coupon %]],Table1[[#This Row],[Average Cluster Yield]],100,Table1[[#This Row],[Coupon Frequency2]])*Table1[[#This Row],[Face value]]/100</f>
        <v>1053.9844069359767</v>
      </c>
      <c r="AC669" s="27" t="str">
        <f>IF(Table1[[#This Row],[Ask Price]]&gt;Table1[[#This Row],[Calculated Bond Price]],"Rich","Cheap")</f>
        <v>Rich</v>
      </c>
      <c r="AD669" s="28">
        <f>PRICE(Table1[[#This Row],[Issue date]],Table1[[#This Row],[Maturity date]],Table1[[#This Row],[Current coupon %]],Table1[[#This Row],[Yield (Annualised)]]+$AE$2,100,Table1[[#This Row],[Coupon Frequency2]])*Table1[[#This Row],[Face value]]/100</f>
        <v>1069.5619933490959</v>
      </c>
      <c r="AE669" s="28">
        <f>PRICE(Table1[[#This Row],[Issue date]],Table1[[#This Row],[Maturity date]],Table1[[#This Row],[Current coupon %]],Table1[[#This Row],[Yield (Annualised)]]-$AE$2,100,Table1[[#This Row],[Coupon Frequency2]])*Table1[[#This Row],[Face value]]/100</f>
        <v>1277.3709574380212</v>
      </c>
      <c r="AF669" s="28">
        <f>(Table1[[#This Row],[P (+ shock)]]+Table1[[#This Row],[P (-shock)]]-2*Table1[[#This Row],[Ask Price]])/(2*Table1[[#This Row],[Ask Price]]*($AE$2^2))</f>
        <v>55.411100201872657</v>
      </c>
    </row>
    <row r="670" spans="1:32" x14ac:dyDescent="0.25">
      <c r="A670" s="21" t="s">
        <v>1382</v>
      </c>
      <c r="B670" s="3" t="s">
        <v>1383</v>
      </c>
      <c r="C670" s="3" t="s">
        <v>19</v>
      </c>
      <c r="D670" s="4">
        <v>43193</v>
      </c>
      <c r="E670" s="4">
        <v>46846</v>
      </c>
      <c r="F670" s="3">
        <v>1000000</v>
      </c>
      <c r="G670" s="3" t="s">
        <v>20</v>
      </c>
      <c r="H670" s="3">
        <v>1080878.8</v>
      </c>
      <c r="I670" s="3" t="s">
        <v>20</v>
      </c>
      <c r="J670" s="3">
        <v>108.08788</v>
      </c>
      <c r="K670" s="3">
        <v>6</v>
      </c>
      <c r="L670" s="5">
        <v>7.85E-2</v>
      </c>
      <c r="M670" s="3" t="s">
        <v>53</v>
      </c>
      <c r="N670" s="3">
        <v>929</v>
      </c>
      <c r="O670" s="6">
        <f>Table1[[#This Row],[Current coupon %]]*Table1[[#This Row],[Face value]]/Table1[[#This Row],[Ask Price]]</f>
        <v>7.2626089067525421E-2</v>
      </c>
      <c r="P670" s="3" t="s">
        <v>54</v>
      </c>
      <c r="Q670" s="3" t="s">
        <v>22</v>
      </c>
      <c r="R670">
        <f t="shared" si="10"/>
        <v>10</v>
      </c>
      <c r="S670" s="22" cm="1">
        <f t="array" ref="S670">_xlfn.IFS(Table1[[#This Row],[Coupon frequency]]="Semi-annual",2,Table1[[#This Row],[Coupon frequency]]="Quarterly",4,Table1[[#This Row],[Coupon frequency]]="Annual",1,Table1[[#This Row],[Coupon frequency]]="Every 4 months",3,Table1[[#This Row],[Coupon frequency]]="Monthly",12)</f>
        <v>2</v>
      </c>
      <c r="T670">
        <f>Table1[[#This Row],[Term to Maturity (Years)]]*Table1[[#This Row],[Coupon Frequency2]]</f>
        <v>20</v>
      </c>
      <c r="U670">
        <f>Table1[[#This Row],[Face value]]*Table1[[#This Row],[Current coupon %]]/Table1[[#This Row],[Coupon Frequency2]]</f>
        <v>39250</v>
      </c>
      <c r="V670" s="23">
        <f>RATE(Table1[[#This Row],[Total No. of Coupons]],Table1[[#This Row],[Coupon Amount]],-Table1[[#This Row],[Ask Price]],Table1[[#This Row],[Face value]])</f>
        <v>3.3629615106376881E-2</v>
      </c>
      <c r="W670" s="24">
        <f>Table1[[#This Row],[IRR]]*Table1[[#This Row],[Coupon Frequency2]]</f>
        <v>6.7259230212753762E-2</v>
      </c>
      <c r="X670" s="25" cm="1">
        <f t="array" ref="X6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0" s="26">
        <f>DURATION(Table1[[#This Row],[Issue date]],Table1[[#This Row],[Maturity date]],Table1[[#This Row],[Current coupon %]],Table1[[#This Row],[Yield (Annualised)]],Table1[[#This Row],[Coupon Frequency2]])</f>
        <v>7.2325962949119784</v>
      </c>
      <c r="Z670" s="26">
        <f>Table1[[#This Row],[Macaulay Duration in Years]]/(1+Table1[[#This Row],[IRR]])</f>
        <v>6.9972804466981433</v>
      </c>
      <c r="AA670" s="27">
        <f>VLOOKUP(Table1[[#This Row],[Yield Cluster]],'[1]Cluster Details'!$B$3:$C$16,2,0)</f>
        <v>7.8548801574189142E-2</v>
      </c>
      <c r="AB670" s="28">
        <f>PRICE(Table1[[#This Row],[Issue date]],Table1[[#This Row],[Maturity date]],Table1[[#This Row],[Current coupon %]],Table1[[#This Row],[Average Cluster Yield]],100,Table1[[#This Row],[Coupon Frequency2]])*Table1[[#This Row],[Face value]]/100</f>
        <v>999666.24444307957</v>
      </c>
      <c r="AC670" s="27" t="str">
        <f>IF(Table1[[#This Row],[Ask Price]]&gt;Table1[[#This Row],[Calculated Bond Price]],"Rich","Cheap")</f>
        <v>Rich</v>
      </c>
      <c r="AD670" s="28">
        <f>PRICE(Table1[[#This Row],[Issue date]],Table1[[#This Row],[Maturity date]],Table1[[#This Row],[Current coupon %]],Table1[[#This Row],[Yield (Annualised)]]+$AE$2,100,Table1[[#This Row],[Coupon Frequency2]])*Table1[[#This Row],[Face value]]/100</f>
        <v>1008534.4742708406</v>
      </c>
      <c r="AE670" s="28">
        <f>PRICE(Table1[[#This Row],[Issue date]],Table1[[#This Row],[Maturity date]],Table1[[#This Row],[Current coupon %]],Table1[[#This Row],[Yield (Annualised)]]-$AE$2,100,Table1[[#This Row],[Coupon Frequency2]])*Table1[[#This Row],[Face value]]/100</f>
        <v>1160025.1308909894</v>
      </c>
      <c r="AF670" s="28">
        <f>(Table1[[#This Row],[P (+ shock)]]+Table1[[#This Row],[P (-shock)]]-2*Table1[[#This Row],[Ask Price]])/(2*Table1[[#This Row],[Ask Price]]*($AE$2^2))</f>
        <v>31.465161319797176</v>
      </c>
    </row>
    <row r="671" spans="1:32" x14ac:dyDescent="0.25">
      <c r="A671" s="21" t="s">
        <v>1384</v>
      </c>
      <c r="B671" s="3" t="s">
        <v>1385</v>
      </c>
      <c r="C671" s="3" t="s">
        <v>19</v>
      </c>
      <c r="D671" s="4">
        <v>45139</v>
      </c>
      <c r="E671" s="4">
        <v>50618</v>
      </c>
      <c r="F671" s="3">
        <v>100000</v>
      </c>
      <c r="G671" s="3" t="s">
        <v>20</v>
      </c>
      <c r="H671" s="3">
        <v>103833</v>
      </c>
      <c r="I671" s="3" t="s">
        <v>20</v>
      </c>
      <c r="J671" s="3">
        <v>103.833</v>
      </c>
      <c r="K671" s="3">
        <v>6910</v>
      </c>
      <c r="L671" s="5">
        <v>7.5399999999999995E-2</v>
      </c>
      <c r="M671" s="3" t="s">
        <v>21</v>
      </c>
      <c r="N671" s="3">
        <v>4701</v>
      </c>
      <c r="O671" s="6">
        <f>Table1[[#This Row],[Current coupon %]]*Table1[[#This Row],[Face value]]/Table1[[#This Row],[Ask Price]]</f>
        <v>7.2616605510772092E-2</v>
      </c>
      <c r="P671" s="3" t="s">
        <v>297</v>
      </c>
      <c r="Q671" s="3" t="s">
        <v>22</v>
      </c>
      <c r="R671">
        <f t="shared" si="10"/>
        <v>15</v>
      </c>
      <c r="S671" s="22" cm="1">
        <f t="array" ref="S671">_xlfn.IFS(Table1[[#This Row],[Coupon frequency]]="Semi-annual",2,Table1[[#This Row],[Coupon frequency]]="Quarterly",4,Table1[[#This Row],[Coupon frequency]]="Annual",1,Table1[[#This Row],[Coupon frequency]]="Every 4 months",3,Table1[[#This Row],[Coupon frequency]]="Monthly",12)</f>
        <v>1</v>
      </c>
      <c r="T671">
        <f>Table1[[#This Row],[Term to Maturity (Years)]]*Table1[[#This Row],[Coupon Frequency2]]</f>
        <v>15</v>
      </c>
      <c r="U671">
        <f>Table1[[#This Row],[Face value]]*Table1[[#This Row],[Current coupon %]]/Table1[[#This Row],[Coupon Frequency2]]</f>
        <v>7539.9999999999991</v>
      </c>
      <c r="V671" s="23">
        <f>RATE(Table1[[#This Row],[Total No. of Coupons]],Table1[[#This Row],[Coupon Amount]],-Table1[[#This Row],[Ask Price]],Table1[[#This Row],[Face value]])</f>
        <v>7.1160667838364999E-2</v>
      </c>
      <c r="W671" s="24">
        <f>Table1[[#This Row],[IRR]]*Table1[[#This Row],[Coupon Frequency2]]</f>
        <v>7.1160667838364999E-2</v>
      </c>
      <c r="X671" s="25" cm="1">
        <f t="array" ref="X6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1" s="26">
        <f>DURATION(Table1[[#This Row],[Issue date]],Table1[[#This Row],[Maturity date]],Table1[[#This Row],[Current coupon %]],Table1[[#This Row],[Yield (Annualised)]],Table1[[#This Row],[Coupon Frequency2]])</f>
        <v>9.5761731106930927</v>
      </c>
      <c r="Z671" s="26">
        <f>Table1[[#This Row],[Macaulay Duration in Years]]/(1+Table1[[#This Row],[IRR]])</f>
        <v>8.9399969567759641</v>
      </c>
      <c r="AA671" s="27">
        <f>VLOOKUP(Table1[[#This Row],[Yield Cluster]],'[1]Cluster Details'!$B$3:$C$16,2,0)</f>
        <v>7.8548801574189142E-2</v>
      </c>
      <c r="AB671" s="28">
        <f>PRICE(Table1[[#This Row],[Issue date]],Table1[[#This Row],[Maturity date]],Table1[[#This Row],[Current coupon %]],Table1[[#This Row],[Average Cluster Yield]],100,Table1[[#This Row],[Coupon Frequency2]])*Table1[[#This Row],[Face value]]/100</f>
        <v>97280.742443884068</v>
      </c>
      <c r="AC671" s="27" t="str">
        <f>IF(Table1[[#This Row],[Ask Price]]&gt;Table1[[#This Row],[Calculated Bond Price]],"Rich","Cheap")</f>
        <v>Rich</v>
      </c>
      <c r="AD671" s="28">
        <f>PRICE(Table1[[#This Row],[Issue date]],Table1[[#This Row],[Maturity date]],Table1[[#This Row],[Current coupon %]],Table1[[#This Row],[Yield (Annualised)]]+$AE$2,100,Table1[[#This Row],[Coupon Frequency2]])*Table1[[#This Row],[Face value]]/100</f>
        <v>95103.922016816068</v>
      </c>
      <c r="AE671" s="28">
        <f>PRICE(Table1[[#This Row],[Issue date]],Table1[[#This Row],[Maturity date]],Table1[[#This Row],[Current coupon %]],Table1[[#This Row],[Yield (Annualised)]]-$AE$2,100,Table1[[#This Row],[Coupon Frequency2]])*Table1[[#This Row],[Face value]]/100</f>
        <v>113725.31525769066</v>
      </c>
      <c r="AF671" s="28">
        <f>(Table1[[#This Row],[P (+ shock)]]+Table1[[#This Row],[P (-shock)]]-2*Table1[[#This Row],[Ask Price]])/(2*Table1[[#This Row],[Ask Price]]*($AE$2^2))</f>
        <v>56.014815834402903</v>
      </c>
    </row>
    <row r="672" spans="1:32" x14ac:dyDescent="0.25">
      <c r="A672" s="21" t="s">
        <v>1386</v>
      </c>
      <c r="B672" s="3" t="s">
        <v>1387</v>
      </c>
      <c r="C672" s="3" t="s">
        <v>19</v>
      </c>
      <c r="D672" s="4">
        <v>44420</v>
      </c>
      <c r="E672" s="4">
        <v>48072</v>
      </c>
      <c r="F672" s="3">
        <v>1000000</v>
      </c>
      <c r="G672" s="3" t="s">
        <v>20</v>
      </c>
      <c r="H672" s="3">
        <v>1000000</v>
      </c>
      <c r="I672" s="3" t="s">
        <v>20</v>
      </c>
      <c r="J672" s="3">
        <v>100</v>
      </c>
      <c r="K672" s="3">
        <v>1</v>
      </c>
      <c r="L672" s="5">
        <v>7.2499999999999995E-2</v>
      </c>
      <c r="M672" s="3" t="s">
        <v>21</v>
      </c>
      <c r="N672" s="3">
        <v>2155</v>
      </c>
      <c r="O672" s="6">
        <f>Table1[[#This Row],[Current coupon %]]*Table1[[#This Row],[Face value]]/Table1[[#This Row],[Ask Price]]</f>
        <v>7.2499999999999995E-2</v>
      </c>
      <c r="P672" s="3"/>
      <c r="Q672" s="3" t="s">
        <v>22</v>
      </c>
      <c r="R672">
        <f t="shared" si="10"/>
        <v>10</v>
      </c>
      <c r="S672" s="22" cm="1">
        <f t="array" ref="S672">_xlfn.IFS(Table1[[#This Row],[Coupon frequency]]="Semi-annual",2,Table1[[#This Row],[Coupon frequency]]="Quarterly",4,Table1[[#This Row],[Coupon frequency]]="Annual",1,Table1[[#This Row],[Coupon frequency]]="Every 4 months",3,Table1[[#This Row],[Coupon frequency]]="Monthly",12)</f>
        <v>1</v>
      </c>
      <c r="T672">
        <f>Table1[[#This Row],[Term to Maturity (Years)]]*Table1[[#This Row],[Coupon Frequency2]]</f>
        <v>10</v>
      </c>
      <c r="U672">
        <f>Table1[[#This Row],[Face value]]*Table1[[#This Row],[Current coupon %]]/Table1[[#This Row],[Coupon Frequency2]]</f>
        <v>72500</v>
      </c>
      <c r="V672" s="23">
        <f>RATE(Table1[[#This Row],[Total No. of Coupons]],Table1[[#This Row],[Coupon Amount]],-Table1[[#This Row],[Ask Price]],Table1[[#This Row],[Face value]])</f>
        <v>7.2500000000000009E-2</v>
      </c>
      <c r="W672" s="24">
        <f>Table1[[#This Row],[IRR]]*Table1[[#This Row],[Coupon Frequency2]]</f>
        <v>7.2500000000000009E-2</v>
      </c>
      <c r="X672" s="25" cm="1">
        <f t="array" ref="X6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2" s="26">
        <f>DURATION(Table1[[#This Row],[Issue date]],Table1[[#This Row],[Maturity date]],Table1[[#This Row],[Current coupon %]],Table1[[#This Row],[Yield (Annualised)]],Table1[[#This Row],[Coupon Frequency2]])</f>
        <v>7.4465052880411404</v>
      </c>
      <c r="Z672" s="26">
        <f>Table1[[#This Row],[Macaulay Duration in Years]]/(1+Table1[[#This Row],[IRR]])</f>
        <v>6.9431284736980325</v>
      </c>
      <c r="AA672" s="27">
        <f>VLOOKUP(Table1[[#This Row],[Yield Cluster]],'[1]Cluster Details'!$B$3:$C$16,2,0)</f>
        <v>7.8548801574189142E-2</v>
      </c>
      <c r="AB672" s="28">
        <f>PRICE(Table1[[#This Row],[Issue date]],Table1[[#This Row],[Maturity date]],Table1[[#This Row],[Current coupon %]],Table1[[#This Row],[Average Cluster Yield]],100,Table1[[#This Row],[Coupon Frequency2]])*Table1[[#This Row],[Face value]]/100</f>
        <v>959145.0296600149</v>
      </c>
      <c r="AC672" s="27" t="str">
        <f>IF(Table1[[#This Row],[Ask Price]]&gt;Table1[[#This Row],[Calculated Bond Price]],"Rich","Cheap")</f>
        <v>Rich</v>
      </c>
      <c r="AD672" s="28">
        <f>PRICE(Table1[[#This Row],[Issue date]],Table1[[#This Row],[Maturity date]],Table1[[#This Row],[Current coupon %]],Table1[[#This Row],[Yield (Annualised)]]+$AE$2,100,Table1[[#This Row],[Coupon Frequency2]])*Table1[[#This Row],[Face value]]/100</f>
        <v>933649.29332628543</v>
      </c>
      <c r="AE672" s="28">
        <f>PRICE(Table1[[#This Row],[Issue date]],Table1[[#This Row],[Maturity date]],Table1[[#This Row],[Current coupon %]],Table1[[#This Row],[Yield (Annualised)]]-$AE$2,100,Table1[[#This Row],[Coupon Frequency2]])*Table1[[#This Row],[Face value]]/100</f>
        <v>1072736.9083780565</v>
      </c>
      <c r="AF672" s="28">
        <f>(Table1[[#This Row],[P (+ shock)]]+Table1[[#This Row],[P (-shock)]]-2*Table1[[#This Row],[Ask Price]])/(2*Table1[[#This Row],[Ask Price]]*($AE$2^2))</f>
        <v>31.93100852170959</v>
      </c>
    </row>
    <row r="673" spans="1:32" x14ac:dyDescent="0.25">
      <c r="A673" s="21" t="s">
        <v>1388</v>
      </c>
      <c r="B673" s="3" t="s">
        <v>1389</v>
      </c>
      <c r="C673" s="3" t="s">
        <v>19</v>
      </c>
      <c r="D673" s="4">
        <v>43962</v>
      </c>
      <c r="E673" s="4">
        <v>47614</v>
      </c>
      <c r="F673" s="3">
        <v>1000000</v>
      </c>
      <c r="G673" s="3" t="s">
        <v>20</v>
      </c>
      <c r="H673" s="3">
        <v>1046367</v>
      </c>
      <c r="I673" s="3" t="s">
        <v>20</v>
      </c>
      <c r="J673" s="3">
        <v>104.6367</v>
      </c>
      <c r="K673" s="3">
        <v>1</v>
      </c>
      <c r="L673" s="5">
        <v>7.5499999999999998E-2</v>
      </c>
      <c r="M673" s="3" t="s">
        <v>21</v>
      </c>
      <c r="N673" s="3">
        <v>1697</v>
      </c>
      <c r="O673" s="6">
        <f>Table1[[#This Row],[Current coupon %]]*Table1[[#This Row],[Face value]]/Table1[[#This Row],[Ask Price]]</f>
        <v>7.2154416184761178E-2</v>
      </c>
      <c r="P673" s="3"/>
      <c r="Q673" s="3" t="s">
        <v>22</v>
      </c>
      <c r="R673">
        <f t="shared" si="10"/>
        <v>10</v>
      </c>
      <c r="S673" s="22" cm="1">
        <f t="array" ref="S673">_xlfn.IFS(Table1[[#This Row],[Coupon frequency]]="Semi-annual",2,Table1[[#This Row],[Coupon frequency]]="Quarterly",4,Table1[[#This Row],[Coupon frequency]]="Annual",1,Table1[[#This Row],[Coupon frequency]]="Every 4 months",3,Table1[[#This Row],[Coupon frequency]]="Monthly",12)</f>
        <v>1</v>
      </c>
      <c r="T673">
        <f>Table1[[#This Row],[Term to Maturity (Years)]]*Table1[[#This Row],[Coupon Frequency2]]</f>
        <v>10</v>
      </c>
      <c r="U673">
        <f>Table1[[#This Row],[Face value]]*Table1[[#This Row],[Current coupon %]]/Table1[[#This Row],[Coupon Frequency2]]</f>
        <v>75500</v>
      </c>
      <c r="V673" s="23">
        <f>RATE(Table1[[#This Row],[Total No. of Coupons]],Table1[[#This Row],[Coupon Amount]],-Table1[[#This Row],[Ask Price]],Table1[[#This Row],[Face value]])</f>
        <v>6.8930967111069996E-2</v>
      </c>
      <c r="W673" s="24">
        <f>Table1[[#This Row],[IRR]]*Table1[[#This Row],[Coupon Frequency2]]</f>
        <v>6.8930967111069996E-2</v>
      </c>
      <c r="X673" s="25" cm="1">
        <f t="array" ref="X67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3" s="26">
        <f>DURATION(Table1[[#This Row],[Issue date]],Table1[[#This Row],[Maturity date]],Table1[[#This Row],[Current coupon %]],Table1[[#This Row],[Yield (Annualised)]],Table1[[#This Row],[Coupon Frequency2]])</f>
        <v>7.4301589487038147</v>
      </c>
      <c r="Z673" s="26">
        <f>Table1[[#This Row],[Macaulay Duration in Years]]/(1+Table1[[#This Row],[IRR]])</f>
        <v>6.9510185197317469</v>
      </c>
      <c r="AA673" s="27">
        <f>VLOOKUP(Table1[[#This Row],[Yield Cluster]],'[1]Cluster Details'!$B$3:$C$16,2,0)</f>
        <v>7.8548801574189142E-2</v>
      </c>
      <c r="AB673" s="28">
        <f>PRICE(Table1[[#This Row],[Issue date]],Table1[[#This Row],[Maturity date]],Table1[[#This Row],[Current coupon %]],Table1[[#This Row],[Average Cluster Yield]],100,Table1[[#This Row],[Coupon Frequency2]])*Table1[[#This Row],[Face value]]/100</f>
        <v>979407.70640956389</v>
      </c>
      <c r="AC673" s="27" t="str">
        <f>IF(Table1[[#This Row],[Ask Price]]&gt;Table1[[#This Row],[Calculated Bond Price]],"Rich","Cheap")</f>
        <v>Rich</v>
      </c>
      <c r="AD673" s="28">
        <f>PRICE(Table1[[#This Row],[Issue date]],Table1[[#This Row],[Maturity date]],Table1[[#This Row],[Current coupon %]],Table1[[#This Row],[Yield (Annualised)]]+$AE$2,100,Table1[[#This Row],[Coupon Frequency2]])*Table1[[#This Row],[Face value]]/100</f>
        <v>976866.50832935842</v>
      </c>
      <c r="AE673" s="28">
        <f>PRICE(Table1[[#This Row],[Issue date]],Table1[[#This Row],[Maturity date]],Table1[[#This Row],[Current coupon %]],Table1[[#This Row],[Yield (Annualised)]]-$AE$2,100,Table1[[#This Row],[Coupon Frequency2]])*Table1[[#This Row],[Face value]]/100</f>
        <v>1122569.5608649212</v>
      </c>
      <c r="AF673" s="28">
        <f>(Table1[[#This Row],[P (+ shock)]]+Table1[[#This Row],[P (-shock)]]-2*Table1[[#This Row],[Ask Price]])/(2*Table1[[#This Row],[Ask Price]]*($AE$2^2))</f>
        <v>32.025423175040935</v>
      </c>
    </row>
    <row r="674" spans="1:32" x14ac:dyDescent="0.25">
      <c r="A674" s="21" t="s">
        <v>1390</v>
      </c>
      <c r="B674" s="3" t="s">
        <v>1391</v>
      </c>
      <c r="C674" s="3" t="s">
        <v>19</v>
      </c>
      <c r="D674" s="4">
        <v>44816</v>
      </c>
      <c r="E674" s="4">
        <v>46640</v>
      </c>
      <c r="F674" s="3">
        <v>1000000</v>
      </c>
      <c r="G674" s="3" t="s">
        <v>20</v>
      </c>
      <c r="H674" s="3">
        <v>1061063.5</v>
      </c>
      <c r="I674" s="3" t="s">
        <v>20</v>
      </c>
      <c r="J674" s="3">
        <v>106.106349999999</v>
      </c>
      <c r="K674" s="3">
        <v>1</v>
      </c>
      <c r="L674" s="5">
        <v>7.6499999999999999E-2</v>
      </c>
      <c r="M674" s="3" t="s">
        <v>21</v>
      </c>
      <c r="N674" s="3">
        <v>723</v>
      </c>
      <c r="O674" s="6">
        <f>Table1[[#This Row],[Current coupon %]]*Table1[[#This Row],[Face value]]/Table1[[#This Row],[Ask Price]]</f>
        <v>7.2097475787264387E-2</v>
      </c>
      <c r="P674" s="3"/>
      <c r="Q674" s="3" t="s">
        <v>22</v>
      </c>
      <c r="R674">
        <f t="shared" si="10"/>
        <v>5</v>
      </c>
      <c r="S674" s="22" cm="1">
        <f t="array" ref="S674">_xlfn.IFS(Table1[[#This Row],[Coupon frequency]]="Semi-annual",2,Table1[[#This Row],[Coupon frequency]]="Quarterly",4,Table1[[#This Row],[Coupon frequency]]="Annual",1,Table1[[#This Row],[Coupon frequency]]="Every 4 months",3,Table1[[#This Row],[Coupon frequency]]="Monthly",12)</f>
        <v>1</v>
      </c>
      <c r="T674">
        <f>Table1[[#This Row],[Term to Maturity (Years)]]*Table1[[#This Row],[Coupon Frequency2]]</f>
        <v>5</v>
      </c>
      <c r="U674">
        <f>Table1[[#This Row],[Face value]]*Table1[[#This Row],[Current coupon %]]/Table1[[#This Row],[Coupon Frequency2]]</f>
        <v>76500</v>
      </c>
      <c r="V674" s="23">
        <f>RATE(Table1[[#This Row],[Total No. of Coupons]],Table1[[#This Row],[Coupon Amount]],-Table1[[#This Row],[Ask Price]],Table1[[#This Row],[Face value]])</f>
        <v>6.1927644438776575E-2</v>
      </c>
      <c r="W674" s="24">
        <f>Table1[[#This Row],[IRR]]*Table1[[#This Row],[Coupon Frequency2]]</f>
        <v>6.1927644438776575E-2</v>
      </c>
      <c r="X674" s="25" cm="1">
        <f t="array" ref="X67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4" s="26">
        <f>DURATION(Table1[[#This Row],[Issue date]],Table1[[#This Row],[Maturity date]],Table1[[#This Row],[Current coupon %]],Table1[[#This Row],[Yield (Annualised)]],Table1[[#This Row],[Coupon Frequency2]])</f>
        <v>4.3539659196438665</v>
      </c>
      <c r="Z674" s="26">
        <f>Table1[[#This Row],[Macaulay Duration in Years]]/(1+Table1[[#This Row],[IRR]])</f>
        <v>4.1000589281625821</v>
      </c>
      <c r="AA674" s="27">
        <f>VLOOKUP(Table1[[#This Row],[Yield Cluster]],'[1]Cluster Details'!$B$3:$C$16,2,0)</f>
        <v>7.8548801574189142E-2</v>
      </c>
      <c r="AB674" s="28">
        <f>PRICE(Table1[[#This Row],[Issue date]],Table1[[#This Row],[Maturity date]],Table1[[#This Row],[Current coupon %]],Table1[[#This Row],[Average Cluster Yield]],100,Table1[[#This Row],[Coupon Frequency2]])*Table1[[#This Row],[Face value]]/100</f>
        <v>991780.07483037142</v>
      </c>
      <c r="AC674" s="27" t="str">
        <f>IF(Table1[[#This Row],[Ask Price]]&gt;Table1[[#This Row],[Calculated Bond Price]],"Rich","Cheap")</f>
        <v>Rich</v>
      </c>
      <c r="AD674" s="28">
        <f>PRICE(Table1[[#This Row],[Issue date]],Table1[[#This Row],[Maturity date]],Table1[[#This Row],[Current coupon %]],Table1[[#This Row],[Yield (Annualised)]]+$AE$2,100,Table1[[#This Row],[Coupon Frequency2]])*Table1[[#This Row],[Face value]]/100</f>
        <v>1018619.3483589563</v>
      </c>
      <c r="AE674" s="28">
        <f>PRICE(Table1[[#This Row],[Issue date]],Table1[[#This Row],[Maturity date]],Table1[[#This Row],[Current coupon %]],Table1[[#This Row],[Yield (Annualised)]]-$AE$2,100,Table1[[#This Row],[Coupon Frequency2]])*Table1[[#This Row],[Face value]]/100</f>
        <v>1105706.9862879994</v>
      </c>
      <c r="AF674" s="28">
        <f>(Table1[[#This Row],[P (+ shock)]]+Table1[[#This Row],[P (-shock)]]-2*Table1[[#This Row],[Ask Price]])/(2*Table1[[#This Row],[Ask Price]]*($AE$2^2))</f>
        <v>10.363821990651823</v>
      </c>
    </row>
    <row r="675" spans="1:32" x14ac:dyDescent="0.25">
      <c r="A675" s="21" t="s">
        <v>1392</v>
      </c>
      <c r="B675" s="3" t="s">
        <v>1393</v>
      </c>
      <c r="C675" s="3" t="s">
        <v>19</v>
      </c>
      <c r="D675" s="4">
        <v>45670</v>
      </c>
      <c r="E675" s="4">
        <v>46836</v>
      </c>
      <c r="F675" s="3">
        <v>100000</v>
      </c>
      <c r="G675" s="3" t="s">
        <v>20</v>
      </c>
      <c r="H675" s="3">
        <v>104713</v>
      </c>
      <c r="I675" s="3" t="s">
        <v>20</v>
      </c>
      <c r="J675" s="3">
        <v>104.71299999999999</v>
      </c>
      <c r="K675" s="3">
        <v>1500</v>
      </c>
      <c r="L675" s="5">
        <v>7.5300000000000006E-2</v>
      </c>
      <c r="M675" s="3" t="s">
        <v>21</v>
      </c>
      <c r="N675" s="3">
        <v>919</v>
      </c>
      <c r="O675" s="6">
        <f>Table1[[#This Row],[Current coupon %]]*Table1[[#This Row],[Face value]]/Table1[[#This Row],[Ask Price]]</f>
        <v>7.1910842015795562E-2</v>
      </c>
      <c r="P675" s="3"/>
      <c r="Q675" s="3" t="s">
        <v>22</v>
      </c>
      <c r="R675">
        <f t="shared" si="10"/>
        <v>3</v>
      </c>
      <c r="S675" s="22" cm="1">
        <f t="array" ref="S675">_xlfn.IFS(Table1[[#This Row],[Coupon frequency]]="Semi-annual",2,Table1[[#This Row],[Coupon frequency]]="Quarterly",4,Table1[[#This Row],[Coupon frequency]]="Annual",1,Table1[[#This Row],[Coupon frequency]]="Every 4 months",3,Table1[[#This Row],[Coupon frequency]]="Monthly",12)</f>
        <v>1</v>
      </c>
      <c r="T675">
        <f>Table1[[#This Row],[Term to Maturity (Years)]]*Table1[[#This Row],[Coupon Frequency2]]</f>
        <v>3</v>
      </c>
      <c r="U675">
        <f>Table1[[#This Row],[Face value]]*Table1[[#This Row],[Current coupon %]]/Table1[[#This Row],[Coupon Frequency2]]</f>
        <v>7530.0000000000009</v>
      </c>
      <c r="V675" s="23">
        <f>RATE(Table1[[#This Row],[Total No. of Coupons]],Table1[[#This Row],[Coupon Amount]],-Table1[[#This Row],[Ask Price]],Table1[[#This Row],[Face value]])</f>
        <v>5.7741821411677531E-2</v>
      </c>
      <c r="W675" s="24">
        <f>Table1[[#This Row],[IRR]]*Table1[[#This Row],[Coupon Frequency2]]</f>
        <v>5.7741821411677531E-2</v>
      </c>
      <c r="X675" s="25" cm="1">
        <f t="array" ref="X67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5" s="26">
        <f>DURATION(Table1[[#This Row],[Issue date]],Table1[[#This Row],[Maturity date]],Table1[[#This Row],[Current coupon %]],Table1[[#This Row],[Yield (Annualised)]],Table1[[#This Row],[Coupon Frequency2]])</f>
        <v>2.8091517184911039</v>
      </c>
      <c r="Z675" s="26">
        <f>Table1[[#This Row],[Macaulay Duration in Years]]/(1+Table1[[#This Row],[IRR]])</f>
        <v>2.6558009351865932</v>
      </c>
      <c r="AA675" s="27">
        <f>VLOOKUP(Table1[[#This Row],[Yield Cluster]],'[1]Cluster Details'!$B$3:$C$16,2,0)</f>
        <v>7.8548801574189142E-2</v>
      </c>
      <c r="AB675" s="28">
        <f>PRICE(Table1[[#This Row],[Issue date]],Table1[[#This Row],[Maturity date]],Table1[[#This Row],[Current coupon %]],Table1[[#This Row],[Average Cluster Yield]],100,Table1[[#This Row],[Coupon Frequency2]])*Table1[[#This Row],[Face value]]/100</f>
        <v>99066.341925160901</v>
      </c>
      <c r="AC675" s="27" t="str">
        <f>IF(Table1[[#This Row],[Ask Price]]&gt;Table1[[#This Row],[Calculated Bond Price]],"Rich","Cheap")</f>
        <v>Rich</v>
      </c>
      <c r="AD675" s="28">
        <f>PRICE(Table1[[#This Row],[Issue date]],Table1[[#This Row],[Maturity date]],Table1[[#This Row],[Current coupon %]],Table1[[#This Row],[Yield (Annualised)]]+$AE$2,100,Table1[[#This Row],[Coupon Frequency2]])*Table1[[#This Row],[Face value]]/100</f>
        <v>102070.11150794599</v>
      </c>
      <c r="AE675" s="28">
        <f>PRICE(Table1[[#This Row],[Issue date]],Table1[[#This Row],[Maturity date]],Table1[[#This Row],[Current coupon %]],Table1[[#This Row],[Yield (Annualised)]]-$AE$2,100,Table1[[#This Row],[Coupon Frequency2]])*Table1[[#This Row],[Face value]]/100</f>
        <v>107968.20946073422</v>
      </c>
      <c r="AF675" s="28">
        <f>(Table1[[#This Row],[P (+ shock)]]+Table1[[#This Row],[P (-shock)]]-2*Table1[[#This Row],[Ask Price]])/(2*Table1[[#This Row],[Ask Price]]*($AE$2^2))</f>
        <v>29.238058726242208</v>
      </c>
    </row>
    <row r="676" spans="1:32" x14ac:dyDescent="0.25">
      <c r="A676" s="21" t="s">
        <v>1394</v>
      </c>
      <c r="B676" s="3" t="s">
        <v>1395</v>
      </c>
      <c r="C676" s="3" t="s">
        <v>19</v>
      </c>
      <c r="D676" s="4">
        <v>44918</v>
      </c>
      <c r="E676" s="4">
        <v>46014</v>
      </c>
      <c r="F676" s="3">
        <v>1000</v>
      </c>
      <c r="G676" s="3" t="s">
        <v>20</v>
      </c>
      <c r="H676" s="3">
        <v>1057</v>
      </c>
      <c r="I676" s="3" t="s">
        <v>20</v>
      </c>
      <c r="J676" s="3">
        <v>105.69999999999899</v>
      </c>
      <c r="K676" s="3">
        <v>2</v>
      </c>
      <c r="L676" s="5">
        <v>7.5999999999999998E-2</v>
      </c>
      <c r="M676" s="3" t="s">
        <v>21</v>
      </c>
      <c r="N676" s="3">
        <v>97</v>
      </c>
      <c r="O676" s="6">
        <f>Table1[[#This Row],[Current coupon %]]*Table1[[#This Row],[Face value]]/Table1[[#This Row],[Ask Price]]</f>
        <v>7.1901608325449382E-2</v>
      </c>
      <c r="P676" s="3" t="s">
        <v>97</v>
      </c>
      <c r="Q676" s="3" t="s">
        <v>22</v>
      </c>
      <c r="R676">
        <f t="shared" si="10"/>
        <v>3</v>
      </c>
      <c r="S676" s="22" cm="1">
        <f t="array" ref="S676">_xlfn.IFS(Table1[[#This Row],[Coupon frequency]]="Semi-annual",2,Table1[[#This Row],[Coupon frequency]]="Quarterly",4,Table1[[#This Row],[Coupon frequency]]="Annual",1,Table1[[#This Row],[Coupon frequency]]="Every 4 months",3,Table1[[#This Row],[Coupon frequency]]="Monthly",12)</f>
        <v>1</v>
      </c>
      <c r="T676">
        <f>Table1[[#This Row],[Term to Maturity (Years)]]*Table1[[#This Row],[Coupon Frequency2]]</f>
        <v>3</v>
      </c>
      <c r="U676">
        <f>Table1[[#This Row],[Face value]]*Table1[[#This Row],[Current coupon %]]/Table1[[#This Row],[Coupon Frequency2]]</f>
        <v>76</v>
      </c>
      <c r="V676" s="23">
        <f>RATE(Table1[[#This Row],[Total No. of Coupons]],Table1[[#This Row],[Coupon Amount]],-Table1[[#This Row],[Ask Price]],Table1[[#This Row],[Face value]])</f>
        <v>5.4877535004760142E-2</v>
      </c>
      <c r="W676" s="24">
        <f>Table1[[#This Row],[IRR]]*Table1[[#This Row],[Coupon Frequency2]]</f>
        <v>5.4877535004760142E-2</v>
      </c>
      <c r="X676" s="25" cm="1">
        <f t="array" ref="X67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6" s="26">
        <f>DURATION(Table1[[#This Row],[Issue date]],Table1[[#This Row],[Maturity date]],Table1[[#This Row],[Current coupon %]],Table1[[#This Row],[Yield (Annualised)]],Table1[[#This Row],[Coupon Frequency2]])</f>
        <v>2.7990626351946841</v>
      </c>
      <c r="Z676" s="26">
        <f>Table1[[#This Row],[Macaulay Duration in Years]]/(1+Table1[[#This Row],[IRR]])</f>
        <v>2.6534479523085621</v>
      </c>
      <c r="AA676" s="27">
        <f>VLOOKUP(Table1[[#This Row],[Yield Cluster]],'[1]Cluster Details'!$B$3:$C$16,2,0)</f>
        <v>7.8548801574189142E-2</v>
      </c>
      <c r="AB676" s="28">
        <f>PRICE(Table1[[#This Row],[Issue date]],Table1[[#This Row],[Maturity date]],Table1[[#This Row],[Current coupon %]],Table1[[#This Row],[Average Cluster Yield]],100,Table1[[#This Row],[Coupon Frequency2]])*Table1[[#This Row],[Face value]]/100</f>
        <v>993.41425320772566</v>
      </c>
      <c r="AC676" s="27" t="str">
        <f>IF(Table1[[#This Row],[Ask Price]]&gt;Table1[[#This Row],[Calculated Bond Price]],"Rich","Cheap")</f>
        <v>Rich</v>
      </c>
      <c r="AD676" s="28">
        <f>PRICE(Table1[[#This Row],[Issue date]],Table1[[#This Row],[Maturity date]],Table1[[#This Row],[Current coupon %]],Table1[[#This Row],[Yield (Annualised)]]+$AE$2,100,Table1[[#This Row],[Coupon Frequency2]])*Table1[[#This Row],[Face value]]/100</f>
        <v>1029.4642099880082</v>
      </c>
      <c r="AE676" s="28">
        <f>PRICE(Table1[[#This Row],[Issue date]],Table1[[#This Row],[Maturity date]],Table1[[#This Row],[Current coupon %]],Table1[[#This Row],[Yield (Annualised)]]-$AE$2,100,Table1[[#This Row],[Coupon Frequency2]])*Table1[[#This Row],[Face value]]/100</f>
        <v>1085.5743091121726</v>
      </c>
      <c r="AF676" s="28">
        <f>(Table1[[#This Row],[P (+ shock)]]+Table1[[#This Row],[P (-shock)]]-2*Table1[[#This Row],[Ask Price]])/(2*Table1[[#This Row],[Ask Price]]*($AE$2^2))</f>
        <v>4.912578524979021</v>
      </c>
    </row>
    <row r="677" spans="1:32" x14ac:dyDescent="0.25">
      <c r="A677" s="21" t="s">
        <v>1396</v>
      </c>
      <c r="B677" s="3" t="s">
        <v>1397</v>
      </c>
      <c r="C677" s="3" t="s">
        <v>19</v>
      </c>
      <c r="D677" s="4">
        <v>43061</v>
      </c>
      <c r="E677" s="4">
        <v>46713</v>
      </c>
      <c r="F677" s="3">
        <v>1000000</v>
      </c>
      <c r="G677" s="3" t="s">
        <v>20</v>
      </c>
      <c r="H677" s="3">
        <v>1065000</v>
      </c>
      <c r="I677" s="3" t="s">
        <v>20</v>
      </c>
      <c r="J677" s="3">
        <v>106.5</v>
      </c>
      <c r="K677" s="3">
        <v>2</v>
      </c>
      <c r="L677" s="5">
        <v>7.6499999999999999E-2</v>
      </c>
      <c r="M677" s="3" t="s">
        <v>21</v>
      </c>
      <c r="N677" s="3">
        <v>796</v>
      </c>
      <c r="O677" s="6">
        <f>Table1[[#This Row],[Current coupon %]]*Table1[[#This Row],[Face value]]/Table1[[#This Row],[Ask Price]]</f>
        <v>7.1830985915492959E-2</v>
      </c>
      <c r="P677" s="3" t="s">
        <v>54</v>
      </c>
      <c r="Q677" s="3" t="s">
        <v>22</v>
      </c>
      <c r="R677">
        <f t="shared" si="10"/>
        <v>10</v>
      </c>
      <c r="S677" s="22" cm="1">
        <f t="array" ref="S677">_xlfn.IFS(Table1[[#This Row],[Coupon frequency]]="Semi-annual",2,Table1[[#This Row],[Coupon frequency]]="Quarterly",4,Table1[[#This Row],[Coupon frequency]]="Annual",1,Table1[[#This Row],[Coupon frequency]]="Every 4 months",3,Table1[[#This Row],[Coupon frequency]]="Monthly",12)</f>
        <v>1</v>
      </c>
      <c r="T677">
        <f>Table1[[#This Row],[Term to Maturity (Years)]]*Table1[[#This Row],[Coupon Frequency2]]</f>
        <v>10</v>
      </c>
      <c r="U677">
        <f>Table1[[#This Row],[Face value]]*Table1[[#This Row],[Current coupon %]]/Table1[[#This Row],[Coupon Frequency2]]</f>
        <v>76500</v>
      </c>
      <c r="V677" s="23">
        <f>RATE(Table1[[#This Row],[Total No. of Coupons]],Table1[[#This Row],[Coupon Amount]],-Table1[[#This Row],[Ask Price]],Table1[[#This Row],[Face value]])</f>
        <v>6.7358154149375724E-2</v>
      </c>
      <c r="W677" s="24">
        <f>Table1[[#This Row],[IRR]]*Table1[[#This Row],[Coupon Frequency2]]</f>
        <v>6.7358154149375724E-2</v>
      </c>
      <c r="X677" s="25" cm="1">
        <f t="array" ref="X67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7" s="26">
        <f>DURATION(Table1[[#This Row],[Issue date]],Table1[[#This Row],[Maturity date]],Table1[[#This Row],[Current coupon %]],Table1[[#This Row],[Yield (Annualised)]],Table1[[#This Row],[Coupon Frequency2]])</f>
        <v>7.4289953437794569</v>
      </c>
      <c r="Z677" s="26">
        <f>Table1[[#This Row],[Macaulay Duration in Years]]/(1+Table1[[#This Row],[IRR]])</f>
        <v>6.9601710680703492</v>
      </c>
      <c r="AA677" s="27">
        <f>VLOOKUP(Table1[[#This Row],[Yield Cluster]],'[1]Cluster Details'!$B$3:$C$16,2,0)</f>
        <v>7.8548801574189142E-2</v>
      </c>
      <c r="AB677" s="28">
        <f>PRICE(Table1[[#This Row],[Issue date]],Table1[[#This Row],[Maturity date]],Table1[[#This Row],[Current coupon %]],Table1[[#This Row],[Average Cluster Yield]],100,Table1[[#This Row],[Coupon Frequency2]])*Table1[[#This Row],[Face value]]/100</f>
        <v>986161.93199274689</v>
      </c>
      <c r="AC677" s="27" t="str">
        <f>IF(Table1[[#This Row],[Ask Price]]&gt;Table1[[#This Row],[Calculated Bond Price]],"Rich","Cheap")</f>
        <v>Rich</v>
      </c>
      <c r="AD677" s="28">
        <f>PRICE(Table1[[#This Row],[Issue date]],Table1[[#This Row],[Maturity date]],Table1[[#This Row],[Current coupon %]],Table1[[#This Row],[Yield (Annualised)]]+$AE$2,100,Table1[[#This Row],[Coupon Frequency2]])*Table1[[#This Row],[Face value]]/100</f>
        <v>994172.46462434204</v>
      </c>
      <c r="AE677" s="28">
        <f>PRICE(Table1[[#This Row],[Issue date]],Table1[[#This Row],[Maturity date]],Table1[[#This Row],[Current coupon %]],Table1[[#This Row],[Yield (Annualised)]]-$AE$2,100,Table1[[#This Row],[Coupon Frequency2]])*Table1[[#This Row],[Face value]]/100</f>
        <v>1142665.9457799359</v>
      </c>
      <c r="AF677" s="28">
        <f>(Table1[[#This Row],[P (+ shock)]]+Table1[[#This Row],[P (-shock)]]-2*Table1[[#This Row],[Ask Price]])/(2*Table1[[#This Row],[Ask Price]]*($AE$2^2))</f>
        <v>32.105213165624249</v>
      </c>
    </row>
    <row r="678" spans="1:32" x14ac:dyDescent="0.25">
      <c r="A678" s="21" t="s">
        <v>1398</v>
      </c>
      <c r="B678" s="3" t="s">
        <v>1399</v>
      </c>
      <c r="C678" s="3" t="s">
        <v>19</v>
      </c>
      <c r="D678" s="4">
        <v>44140</v>
      </c>
      <c r="E678" s="4">
        <v>45966</v>
      </c>
      <c r="F678" s="3">
        <v>1000</v>
      </c>
      <c r="G678" s="3" t="s">
        <v>20</v>
      </c>
      <c r="H678" s="3">
        <v>1079.8</v>
      </c>
      <c r="I678" s="3" t="s">
        <v>20</v>
      </c>
      <c r="J678" s="3">
        <v>107.979999999999</v>
      </c>
      <c r="K678" s="3">
        <v>1</v>
      </c>
      <c r="L678" s="5">
        <v>7.7499999999999999E-2</v>
      </c>
      <c r="M678" s="3" t="s">
        <v>21</v>
      </c>
      <c r="N678" s="3">
        <v>49</v>
      </c>
      <c r="O678" s="6">
        <f>Table1[[#This Row],[Current coupon %]]*Table1[[#This Row],[Face value]]/Table1[[#This Row],[Ask Price]]</f>
        <v>7.1772550472309696E-2</v>
      </c>
      <c r="P678" s="3" t="s">
        <v>97</v>
      </c>
      <c r="Q678" s="3" t="s">
        <v>22</v>
      </c>
      <c r="R678">
        <f t="shared" si="10"/>
        <v>5</v>
      </c>
      <c r="S678" s="22" cm="1">
        <f t="array" ref="S678">_xlfn.IFS(Table1[[#This Row],[Coupon frequency]]="Semi-annual",2,Table1[[#This Row],[Coupon frequency]]="Quarterly",4,Table1[[#This Row],[Coupon frequency]]="Annual",1,Table1[[#This Row],[Coupon frequency]]="Every 4 months",3,Table1[[#This Row],[Coupon frequency]]="Monthly",12)</f>
        <v>1</v>
      </c>
      <c r="T678">
        <f>Table1[[#This Row],[Term to Maturity (Years)]]*Table1[[#This Row],[Coupon Frequency2]]</f>
        <v>5</v>
      </c>
      <c r="U678">
        <f>Table1[[#This Row],[Face value]]*Table1[[#This Row],[Current coupon %]]/Table1[[#This Row],[Coupon Frequency2]]</f>
        <v>77.5</v>
      </c>
      <c r="V678" s="23">
        <f>RATE(Table1[[#This Row],[Total No. of Coupons]],Table1[[#This Row],[Coupon Amount]],-Table1[[#This Row],[Ask Price]],Table1[[#This Row],[Face value]])</f>
        <v>5.8626497395503845E-2</v>
      </c>
      <c r="W678" s="24">
        <f>Table1[[#This Row],[IRR]]*Table1[[#This Row],[Coupon Frequency2]]</f>
        <v>5.8626497395503845E-2</v>
      </c>
      <c r="X678" s="25" cm="1">
        <f t="array" ref="X67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8" s="26">
        <f>DURATION(Table1[[#This Row],[Issue date]],Table1[[#This Row],[Maturity date]],Table1[[#This Row],[Current coupon %]],Table1[[#This Row],[Yield (Annualised)]],Table1[[#This Row],[Coupon Frequency2]])</f>
        <v>4.3585401062019242</v>
      </c>
      <c r="Z678" s="26">
        <f>Table1[[#This Row],[Macaulay Duration in Years]]/(1+Table1[[#This Row],[IRR]])</f>
        <v>4.117165135130346</v>
      </c>
      <c r="AA678" s="27">
        <f>VLOOKUP(Table1[[#This Row],[Yield Cluster]],'[1]Cluster Details'!$B$3:$C$16,2,0)</f>
        <v>7.8548801574189142E-2</v>
      </c>
      <c r="AB678" s="28">
        <f>PRICE(Table1[[#This Row],[Issue date]],Table1[[#This Row],[Maturity date]],Table1[[#This Row],[Current coupon %]],Table1[[#This Row],[Average Cluster Yield]],100,Table1[[#This Row],[Coupon Frequency2]])*Table1[[#This Row],[Face value]]/100</f>
        <v>995.79637377957192</v>
      </c>
      <c r="AC678" s="27" t="str">
        <f>IF(Table1[[#This Row],[Ask Price]]&gt;Table1[[#This Row],[Calculated Bond Price]],"Rich","Cheap")</f>
        <v>Rich</v>
      </c>
      <c r="AD678" s="28">
        <f>PRICE(Table1[[#This Row],[Issue date]],Table1[[#This Row],[Maturity date]],Table1[[#This Row],[Current coupon %]],Table1[[#This Row],[Yield (Annualised)]]+$AE$2,100,Table1[[#This Row],[Coupon Frequency2]])*Table1[[#This Row],[Face value]]/100</f>
        <v>1036.5173071460435</v>
      </c>
      <c r="AE678" s="28">
        <f>PRICE(Table1[[#This Row],[Issue date]],Table1[[#This Row],[Maturity date]],Table1[[#This Row],[Current coupon %]],Table1[[#This Row],[Yield (Annualised)]]-$AE$2,100,Table1[[#This Row],[Coupon Frequency2]])*Table1[[#This Row],[Face value]]/100</f>
        <v>1125.4832089903566</v>
      </c>
      <c r="AF678" s="28">
        <f>(Table1[[#This Row],[P (+ shock)]]+Table1[[#This Row],[P (-shock)]]-2*Table1[[#This Row],[Ask Price]])/(2*Table1[[#This Row],[Ask Price]]*($AE$2^2))</f>
        <v>11.115559068347174</v>
      </c>
    </row>
    <row r="679" spans="1:32" x14ac:dyDescent="0.25">
      <c r="A679" s="21" t="s">
        <v>1400</v>
      </c>
      <c r="B679" s="3" t="s">
        <v>1401</v>
      </c>
      <c r="C679" s="3" t="s">
        <v>19</v>
      </c>
      <c r="D679" s="4">
        <v>44735</v>
      </c>
      <c r="E679" s="4">
        <v>46561</v>
      </c>
      <c r="F679" s="3">
        <v>1000</v>
      </c>
      <c r="G679" s="3" t="s">
        <v>20</v>
      </c>
      <c r="H679" s="3">
        <v>1011</v>
      </c>
      <c r="I679" s="3" t="s">
        <v>20</v>
      </c>
      <c r="J679" s="3">
        <v>101.1</v>
      </c>
      <c r="K679" s="3">
        <v>25</v>
      </c>
      <c r="L679" s="5">
        <v>7.2499999999999995E-2</v>
      </c>
      <c r="M679" s="3" t="s">
        <v>21</v>
      </c>
      <c r="N679" s="3">
        <v>644</v>
      </c>
      <c r="O679" s="6">
        <f>Table1[[#This Row],[Current coupon %]]*Table1[[#This Row],[Face value]]/Table1[[#This Row],[Ask Price]]</f>
        <v>7.1711177052423344E-2</v>
      </c>
      <c r="P679" s="3" t="s">
        <v>97</v>
      </c>
      <c r="Q679" s="3" t="s">
        <v>22</v>
      </c>
      <c r="R679">
        <f t="shared" si="10"/>
        <v>5</v>
      </c>
      <c r="S679" s="22" cm="1">
        <f t="array" ref="S679">_xlfn.IFS(Table1[[#This Row],[Coupon frequency]]="Semi-annual",2,Table1[[#This Row],[Coupon frequency]]="Quarterly",4,Table1[[#This Row],[Coupon frequency]]="Annual",1,Table1[[#This Row],[Coupon frequency]]="Every 4 months",3,Table1[[#This Row],[Coupon frequency]]="Monthly",12)</f>
        <v>1</v>
      </c>
      <c r="T679">
        <f>Table1[[#This Row],[Term to Maturity (Years)]]*Table1[[#This Row],[Coupon Frequency2]]</f>
        <v>5</v>
      </c>
      <c r="U679">
        <f>Table1[[#This Row],[Face value]]*Table1[[#This Row],[Current coupon %]]/Table1[[#This Row],[Coupon Frequency2]]</f>
        <v>72.5</v>
      </c>
      <c r="V679" s="23">
        <f>RATE(Table1[[#This Row],[Total No. of Coupons]],Table1[[#This Row],[Coupon Amount]],-Table1[[#This Row],[Ask Price]],Table1[[#This Row],[Face value]])</f>
        <v>6.9818505949584442E-2</v>
      </c>
      <c r="W679" s="24">
        <f>Table1[[#This Row],[IRR]]*Table1[[#This Row],[Coupon Frequency2]]</f>
        <v>6.9818505949584442E-2</v>
      </c>
      <c r="X679" s="25" cm="1">
        <f t="array" ref="X67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79" s="26">
        <f>DURATION(Table1[[#This Row],[Issue date]],Table1[[#This Row],[Maturity date]],Table1[[#This Row],[Current coupon %]],Table1[[#This Row],[Yield (Annualised)]],Table1[[#This Row],[Coupon Frequency2]])</f>
        <v>4.3720254280360704</v>
      </c>
      <c r="Z679" s="26">
        <f>Table1[[#This Row],[Macaulay Duration in Years]]/(1+Table1[[#This Row],[IRR]])</f>
        <v>4.0866982611741287</v>
      </c>
      <c r="AA679" s="27">
        <f>VLOOKUP(Table1[[#This Row],[Yield Cluster]],'[1]Cluster Details'!$B$3:$C$16,2,0)</f>
        <v>7.8548801574189142E-2</v>
      </c>
      <c r="AB679" s="28">
        <f>PRICE(Table1[[#This Row],[Issue date]],Table1[[#This Row],[Maturity date]],Table1[[#This Row],[Current coupon %]],Table1[[#This Row],[Average Cluster Yield]],100,Table1[[#This Row],[Coupon Frequency2]])*Table1[[#This Row],[Face value]]/100</f>
        <v>975.75623309004993</v>
      </c>
      <c r="AC679" s="27" t="str">
        <f>IF(Table1[[#This Row],[Ask Price]]&gt;Table1[[#This Row],[Calculated Bond Price]],"Rich","Cheap")</f>
        <v>Rich</v>
      </c>
      <c r="AD679" s="28">
        <f>PRICE(Table1[[#This Row],[Issue date]],Table1[[#This Row],[Maturity date]],Table1[[#This Row],[Current coupon %]],Table1[[#This Row],[Yield (Annualised)]]+$AE$2,100,Table1[[#This Row],[Coupon Frequency2]])*Table1[[#This Row],[Face value]]/100</f>
        <v>970.7653448011439</v>
      </c>
      <c r="AE679" s="28">
        <f>PRICE(Table1[[#This Row],[Issue date]],Table1[[#This Row],[Maturity date]],Table1[[#This Row],[Current coupon %]],Table1[[#This Row],[Yield (Annualised)]]-$AE$2,100,Table1[[#This Row],[Coupon Frequency2]])*Table1[[#This Row],[Face value]]/100</f>
        <v>1053.4454516399646</v>
      </c>
      <c r="AF679" s="28">
        <f>(Table1[[#This Row],[P (+ shock)]]+Table1[[#This Row],[P (-shock)]]-2*Table1[[#This Row],[Ask Price]])/(2*Table1[[#This Row],[Ask Price]]*($AE$2^2))</f>
        <v>10.93371138035813</v>
      </c>
    </row>
    <row r="680" spans="1:32" x14ac:dyDescent="0.25">
      <c r="A680" s="21" t="s">
        <v>1402</v>
      </c>
      <c r="B680" s="3" t="s">
        <v>1403</v>
      </c>
      <c r="C680" s="3" t="s">
        <v>19</v>
      </c>
      <c r="D680" s="4">
        <v>44517</v>
      </c>
      <c r="E680" s="4">
        <v>48169</v>
      </c>
      <c r="F680" s="3">
        <v>1000000</v>
      </c>
      <c r="G680" s="3" t="s">
        <v>20</v>
      </c>
      <c r="H680" s="3">
        <v>1040000</v>
      </c>
      <c r="I680" s="3" t="s">
        <v>20</v>
      </c>
      <c r="J680" s="3">
        <v>104</v>
      </c>
      <c r="K680" s="3">
        <v>1</v>
      </c>
      <c r="L680" s="5">
        <v>7.4499999999999997E-2</v>
      </c>
      <c r="M680" s="3" t="s">
        <v>21</v>
      </c>
      <c r="N680" s="3">
        <v>2252</v>
      </c>
      <c r="O680" s="6">
        <f>Table1[[#This Row],[Current coupon %]]*Table1[[#This Row],[Face value]]/Table1[[#This Row],[Ask Price]]</f>
        <v>7.163461538461538E-2</v>
      </c>
      <c r="P680" s="3"/>
      <c r="Q680" s="3" t="s">
        <v>22</v>
      </c>
      <c r="R680">
        <f t="shared" si="10"/>
        <v>10</v>
      </c>
      <c r="S680" s="22" cm="1">
        <f t="array" ref="S680">_xlfn.IFS(Table1[[#This Row],[Coupon frequency]]="Semi-annual",2,Table1[[#This Row],[Coupon frequency]]="Quarterly",4,Table1[[#This Row],[Coupon frequency]]="Annual",1,Table1[[#This Row],[Coupon frequency]]="Every 4 months",3,Table1[[#This Row],[Coupon frequency]]="Monthly",12)</f>
        <v>1</v>
      </c>
      <c r="T680">
        <f>Table1[[#This Row],[Term to Maturity (Years)]]*Table1[[#This Row],[Coupon Frequency2]]</f>
        <v>10</v>
      </c>
      <c r="U680">
        <f>Table1[[#This Row],[Face value]]*Table1[[#This Row],[Current coupon %]]/Table1[[#This Row],[Coupon Frequency2]]</f>
        <v>74500</v>
      </c>
      <c r="V680" s="23">
        <f>RATE(Table1[[#This Row],[Total No. of Coupons]],Table1[[#This Row],[Coupon Amount]],-Table1[[#This Row],[Ask Price]],Table1[[#This Row],[Face value]])</f>
        <v>6.8835516909824729E-2</v>
      </c>
      <c r="W680" s="24">
        <f>Table1[[#This Row],[IRR]]*Table1[[#This Row],[Coupon Frequency2]]</f>
        <v>6.8835516909824729E-2</v>
      </c>
      <c r="X680" s="25" cm="1">
        <f t="array" ref="X68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0" s="26">
        <f>DURATION(Table1[[#This Row],[Issue date]],Table1[[#This Row],[Maturity date]],Table1[[#This Row],[Current coupon %]],Table1[[#This Row],[Yield (Annualised)]],Table1[[#This Row],[Coupon Frequency2]])</f>
        <v>7.4479075228366289</v>
      </c>
      <c r="Z680" s="26">
        <f>Table1[[#This Row],[Macaulay Duration in Years]]/(1+Table1[[#This Row],[IRR]])</f>
        <v>6.9682447907136611</v>
      </c>
      <c r="AA680" s="27">
        <f>VLOOKUP(Table1[[#This Row],[Yield Cluster]],'[1]Cluster Details'!$B$3:$C$16,2,0)</f>
        <v>7.8548801574189142E-2</v>
      </c>
      <c r="AB680" s="28">
        <f>PRICE(Table1[[#This Row],[Issue date]],Table1[[#This Row],[Maturity date]],Table1[[#This Row],[Current coupon %]],Table1[[#This Row],[Average Cluster Yield]],100,Table1[[#This Row],[Coupon Frequency2]])*Table1[[#This Row],[Face value]]/100</f>
        <v>972653.48082638101</v>
      </c>
      <c r="AC680" s="27" t="str">
        <f>IF(Table1[[#This Row],[Ask Price]]&gt;Table1[[#This Row],[Calculated Bond Price]],"Rich","Cheap")</f>
        <v>Rich</v>
      </c>
      <c r="AD680" s="28">
        <f>PRICE(Table1[[#This Row],[Issue date]],Table1[[#This Row],[Maturity date]],Table1[[#This Row],[Current coupon %]],Table1[[#This Row],[Yield (Annualised)]]+$AE$2,100,Table1[[#This Row],[Coupon Frequency2]])*Table1[[#This Row],[Face value]]/100</f>
        <v>970754.90713475342</v>
      </c>
      <c r="AE680" s="28">
        <f>PRICE(Table1[[#This Row],[Issue date]],Table1[[#This Row],[Maturity date]],Table1[[#This Row],[Current coupon %]],Table1[[#This Row],[Yield (Annualised)]]-$AE$2,100,Table1[[#This Row],[Coupon Frequency2]])*Table1[[#This Row],[Face value]]/100</f>
        <v>1115930.7048301306</v>
      </c>
      <c r="AF680" s="28">
        <f>(Table1[[#This Row],[P (+ shock)]]+Table1[[#This Row],[P (-shock)]]-2*Table1[[#This Row],[Ask Price]])/(2*Table1[[#This Row],[Ask Price]]*($AE$2^2))</f>
        <v>32.142365215788374</v>
      </c>
    </row>
    <row r="681" spans="1:32" x14ac:dyDescent="0.25">
      <c r="A681" s="21" t="s">
        <v>1404</v>
      </c>
      <c r="B681" s="3" t="s">
        <v>1405</v>
      </c>
      <c r="C681" s="3" t="s">
        <v>19</v>
      </c>
      <c r="D681" s="4">
        <v>45663</v>
      </c>
      <c r="E681" s="4">
        <v>47489</v>
      </c>
      <c r="F681" s="3">
        <v>100000</v>
      </c>
      <c r="G681" s="3" t="s">
        <v>20</v>
      </c>
      <c r="H681" s="3">
        <v>101271.23</v>
      </c>
      <c r="I681" s="3" t="s">
        <v>20</v>
      </c>
      <c r="J681" s="3">
        <v>101.27123</v>
      </c>
      <c r="K681" s="3">
        <v>5</v>
      </c>
      <c r="L681" s="5">
        <v>7.2499999999999995E-2</v>
      </c>
      <c r="M681" s="3" t="s">
        <v>21</v>
      </c>
      <c r="N681" s="3">
        <v>1572</v>
      </c>
      <c r="O681" s="6">
        <f>Table1[[#This Row],[Current coupon %]]*Table1[[#This Row],[Face value]]/Table1[[#This Row],[Ask Price]]</f>
        <v>7.1589927366340858E-2</v>
      </c>
      <c r="P681" s="3" t="s">
        <v>54</v>
      </c>
      <c r="Q681" s="3" t="s">
        <v>22</v>
      </c>
      <c r="R681">
        <f t="shared" si="10"/>
        <v>5</v>
      </c>
      <c r="S681" s="22" cm="1">
        <f t="array" ref="S681">_xlfn.IFS(Table1[[#This Row],[Coupon frequency]]="Semi-annual",2,Table1[[#This Row],[Coupon frequency]]="Quarterly",4,Table1[[#This Row],[Coupon frequency]]="Annual",1,Table1[[#This Row],[Coupon frequency]]="Every 4 months",3,Table1[[#This Row],[Coupon frequency]]="Monthly",12)</f>
        <v>1</v>
      </c>
      <c r="T681">
        <f>Table1[[#This Row],[Term to Maturity (Years)]]*Table1[[#This Row],[Coupon Frequency2]]</f>
        <v>5</v>
      </c>
      <c r="U681">
        <f>Table1[[#This Row],[Face value]]*Table1[[#This Row],[Current coupon %]]/Table1[[#This Row],[Coupon Frequency2]]</f>
        <v>7249.9999999999991</v>
      </c>
      <c r="V681" s="23">
        <f>RATE(Table1[[#This Row],[Total No. of Coupons]],Table1[[#This Row],[Coupon Amount]],-Table1[[#This Row],[Ask Price]],Table1[[#This Row],[Face value]])</f>
        <v>6.9404529964158412E-2</v>
      </c>
      <c r="W681" s="24">
        <f>Table1[[#This Row],[IRR]]*Table1[[#This Row],[Coupon Frequency2]]</f>
        <v>6.9404529964158412E-2</v>
      </c>
      <c r="X681" s="25" cm="1">
        <f t="array" ref="X68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1" s="26">
        <f>DURATION(Table1[[#This Row],[Issue date]],Table1[[#This Row],[Maturity date]],Table1[[#This Row],[Current coupon %]],Table1[[#This Row],[Yield (Annualised)]],Table1[[#This Row],[Coupon Frequency2]])</f>
        <v>4.3726177518737943</v>
      </c>
      <c r="Z681" s="26">
        <f>Table1[[#This Row],[Macaulay Duration in Years]]/(1+Table1[[#This Row],[IRR]])</f>
        <v>4.0888341402671493</v>
      </c>
      <c r="AA681" s="27">
        <f>VLOOKUP(Table1[[#This Row],[Yield Cluster]],'[1]Cluster Details'!$B$3:$C$16,2,0)</f>
        <v>7.8548801574189142E-2</v>
      </c>
      <c r="AB681" s="28">
        <f>PRICE(Table1[[#This Row],[Issue date]],Table1[[#This Row],[Maturity date]],Table1[[#This Row],[Current coupon %]],Table1[[#This Row],[Average Cluster Yield]],100,Table1[[#This Row],[Coupon Frequency2]])*Table1[[#This Row],[Face value]]/100</f>
        <v>97575.623309004994</v>
      </c>
      <c r="AC681" s="27" t="str">
        <f>IF(Table1[[#This Row],[Ask Price]]&gt;Table1[[#This Row],[Calculated Bond Price]],"Rich","Cheap")</f>
        <v>Rich</v>
      </c>
      <c r="AD681" s="28">
        <f>PRICE(Table1[[#This Row],[Issue date]],Table1[[#This Row],[Maturity date]],Table1[[#This Row],[Current coupon %]],Table1[[#This Row],[Yield (Annualised)]]+$AE$2,100,Table1[[#This Row],[Coupon Frequency2]])*Table1[[#This Row],[Face value]]/100</f>
        <v>97238.88938403553</v>
      </c>
      <c r="AE681" s="28">
        <f>PRICE(Table1[[#This Row],[Issue date]],Table1[[#This Row],[Maturity date]],Table1[[#This Row],[Current coupon %]],Table1[[#This Row],[Yield (Annualised)]]-$AE$2,100,Table1[[#This Row],[Coupon Frequency2]])*Table1[[#This Row],[Face value]]/100</f>
        <v>105525.2358234334</v>
      </c>
      <c r="AF681" s="28">
        <f>(Table1[[#This Row],[P (+ shock)]]+Table1[[#This Row],[P (-shock)]]-2*Table1[[#This Row],[Ask Price]])/(2*Table1[[#This Row],[Ask Price]]*($AE$2^2))</f>
        <v>10.944135242997131</v>
      </c>
    </row>
    <row r="682" spans="1:32" x14ac:dyDescent="0.25">
      <c r="A682" s="21" t="s">
        <v>1406</v>
      </c>
      <c r="B682" s="3" t="s">
        <v>1407</v>
      </c>
      <c r="C682" s="3" t="s">
        <v>19</v>
      </c>
      <c r="D682" s="4">
        <v>40855</v>
      </c>
      <c r="E682" s="4">
        <v>46334</v>
      </c>
      <c r="F682" s="3">
        <v>100000</v>
      </c>
      <c r="G682" s="3" t="s">
        <v>20</v>
      </c>
      <c r="H682" s="3">
        <v>108614.18</v>
      </c>
      <c r="I682" s="3" t="s">
        <v>20</v>
      </c>
      <c r="J682" s="3">
        <v>108.614179999999</v>
      </c>
      <c r="K682" s="3">
        <v>15</v>
      </c>
      <c r="L682" s="5">
        <v>7.7699999999999991E-2</v>
      </c>
      <c r="M682" s="3" t="s">
        <v>21</v>
      </c>
      <c r="N682" s="3">
        <v>417</v>
      </c>
      <c r="O682" s="6">
        <f>Table1[[#This Row],[Current coupon %]]*Table1[[#This Row],[Face value]]/Table1[[#This Row],[Ask Price]]</f>
        <v>7.1537620594290724E-2</v>
      </c>
      <c r="P682" s="3" t="s">
        <v>297</v>
      </c>
      <c r="Q682" s="3" t="s">
        <v>22</v>
      </c>
      <c r="R682">
        <f t="shared" si="10"/>
        <v>15</v>
      </c>
      <c r="S682" s="22" cm="1">
        <f t="array" ref="S682">_xlfn.IFS(Table1[[#This Row],[Coupon frequency]]="Semi-annual",2,Table1[[#This Row],[Coupon frequency]]="Quarterly",4,Table1[[#This Row],[Coupon frequency]]="Annual",1,Table1[[#This Row],[Coupon frequency]]="Every 4 months",3,Table1[[#This Row],[Coupon frequency]]="Monthly",12)</f>
        <v>1</v>
      </c>
      <c r="T682">
        <f>Table1[[#This Row],[Term to Maturity (Years)]]*Table1[[#This Row],[Coupon Frequency2]]</f>
        <v>15</v>
      </c>
      <c r="U682">
        <f>Table1[[#This Row],[Face value]]*Table1[[#This Row],[Current coupon %]]/Table1[[#This Row],[Coupon Frequency2]]</f>
        <v>7769.9999999999991</v>
      </c>
      <c r="V682" s="23">
        <f>RATE(Table1[[#This Row],[Total No. of Coupons]],Table1[[#This Row],[Coupon Amount]],-Table1[[#This Row],[Ask Price]],Table1[[#This Row],[Face value]])</f>
        <v>6.8340959329272727E-2</v>
      </c>
      <c r="W682" s="24">
        <f>Table1[[#This Row],[IRR]]*Table1[[#This Row],[Coupon Frequency2]]</f>
        <v>6.8340959329272727E-2</v>
      </c>
      <c r="X682" s="25" cm="1">
        <f t="array" ref="X68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2" s="26">
        <f>DURATION(Table1[[#This Row],[Issue date]],Table1[[#This Row],[Maturity date]],Table1[[#This Row],[Current coupon %]],Table1[[#This Row],[Yield (Annualised)]],Table1[[#This Row],[Coupon Frequency2]])</f>
        <v>9.59146541993913</v>
      </c>
      <c r="Z682" s="26">
        <f>Table1[[#This Row],[Macaulay Duration in Years]]/(1+Table1[[#This Row],[IRR]])</f>
        <v>8.9779066656405799</v>
      </c>
      <c r="AA682" s="27">
        <f>VLOOKUP(Table1[[#This Row],[Yield Cluster]],'[1]Cluster Details'!$B$3:$C$16,2,0)</f>
        <v>7.8548801574189142E-2</v>
      </c>
      <c r="AB682" s="28">
        <f>PRICE(Table1[[#This Row],[Issue date]],Table1[[#This Row],[Maturity date]],Table1[[#This Row],[Current coupon %]],Table1[[#This Row],[Average Cluster Yield]],100,Table1[[#This Row],[Coupon Frequency2]])*Table1[[#This Row],[Face value]]/100</f>
        <v>99266.987760303353</v>
      </c>
      <c r="AC682" s="27" t="str">
        <f>IF(Table1[[#This Row],[Ask Price]]&gt;Table1[[#This Row],[Calculated Bond Price]],"Rich","Cheap")</f>
        <v>Rich</v>
      </c>
      <c r="AD682" s="28">
        <f>PRICE(Table1[[#This Row],[Issue date]],Table1[[#This Row],[Maturity date]],Table1[[#This Row],[Current coupon %]],Table1[[#This Row],[Yield (Annualised)]]+$AE$2,100,Table1[[#This Row],[Coupon Frequency2]])*Table1[[#This Row],[Face value]]/100</f>
        <v>99445.770569632543</v>
      </c>
      <c r="AE682" s="28">
        <f>PRICE(Table1[[#This Row],[Issue date]],Table1[[#This Row],[Maturity date]],Table1[[#This Row],[Current coupon %]],Table1[[#This Row],[Yield (Annualised)]]-$AE$2,100,Table1[[#This Row],[Coupon Frequency2]])*Table1[[#This Row],[Face value]]/100</f>
        <v>119007.4865570766</v>
      </c>
      <c r="AF682" s="28">
        <f>(Table1[[#This Row],[P (+ shock)]]+Table1[[#This Row],[P (-shock)]]-2*Table1[[#This Row],[Ask Price]])/(2*Table1[[#This Row],[Ask Price]]*($AE$2^2))</f>
        <v>56.387532765480955</v>
      </c>
    </row>
    <row r="683" spans="1:32" x14ac:dyDescent="0.25">
      <c r="A683" s="21" t="s">
        <v>1408</v>
      </c>
      <c r="B683" s="3" t="s">
        <v>1409</v>
      </c>
      <c r="C683" s="3" t="s">
        <v>19</v>
      </c>
      <c r="D683" s="4">
        <v>44116</v>
      </c>
      <c r="E683" s="4">
        <v>47767</v>
      </c>
      <c r="F683" s="3">
        <v>1000000</v>
      </c>
      <c r="G683" s="3" t="s">
        <v>20</v>
      </c>
      <c r="H683" s="3">
        <v>985587</v>
      </c>
      <c r="I683" s="3" t="s">
        <v>20</v>
      </c>
      <c r="J683" s="3">
        <v>98.558700000000002</v>
      </c>
      <c r="K683" s="3">
        <v>1</v>
      </c>
      <c r="L683" s="5">
        <v>7.0499999999999993E-2</v>
      </c>
      <c r="M683" s="3" t="s">
        <v>53</v>
      </c>
      <c r="N683" s="3">
        <v>1850</v>
      </c>
      <c r="O683" s="6">
        <f>Table1[[#This Row],[Current coupon %]]*Table1[[#This Row],[Face value]]/Table1[[#This Row],[Ask Price]]</f>
        <v>7.1530975956460463E-2</v>
      </c>
      <c r="P683" s="3"/>
      <c r="Q683" s="3" t="s">
        <v>22</v>
      </c>
      <c r="R683">
        <f t="shared" si="10"/>
        <v>10</v>
      </c>
      <c r="S683" s="22" cm="1">
        <f t="array" ref="S683">_xlfn.IFS(Table1[[#This Row],[Coupon frequency]]="Semi-annual",2,Table1[[#This Row],[Coupon frequency]]="Quarterly",4,Table1[[#This Row],[Coupon frequency]]="Annual",1,Table1[[#This Row],[Coupon frequency]]="Every 4 months",3,Table1[[#This Row],[Coupon frequency]]="Monthly",12)</f>
        <v>2</v>
      </c>
      <c r="T683">
        <f>Table1[[#This Row],[Term to Maturity (Years)]]*Table1[[#This Row],[Coupon Frequency2]]</f>
        <v>20</v>
      </c>
      <c r="U683">
        <f>Table1[[#This Row],[Face value]]*Table1[[#This Row],[Current coupon %]]/Table1[[#This Row],[Coupon Frequency2]]</f>
        <v>35250</v>
      </c>
      <c r="V683" s="23">
        <f>RATE(Table1[[#This Row],[Total No. of Coupons]],Table1[[#This Row],[Coupon Amount]],-Table1[[#This Row],[Ask Price]],Table1[[#This Row],[Face value]])</f>
        <v>3.6275856887716056E-2</v>
      </c>
      <c r="W683" s="24">
        <f>Table1[[#This Row],[IRR]]*Table1[[#This Row],[Coupon Frequency2]]</f>
        <v>7.2551713775432111E-2</v>
      </c>
      <c r="X683" s="25" cm="1">
        <f t="array" ref="X68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3" s="26">
        <f>DURATION(Table1[[#This Row],[Issue date]],Table1[[#This Row],[Maturity date]],Table1[[#This Row],[Current coupon %]],Table1[[#This Row],[Yield (Annualised)]],Table1[[#This Row],[Coupon Frequency2]])</f>
        <v>7.3151863187694914</v>
      </c>
      <c r="Z683" s="26">
        <f>Table1[[#This Row],[Macaulay Duration in Years]]/(1+Table1[[#This Row],[IRR]])</f>
        <v>7.0591110177356153</v>
      </c>
      <c r="AA683" s="27">
        <f>VLOOKUP(Table1[[#This Row],[Yield Cluster]],'[1]Cluster Details'!$B$3:$C$16,2,0)</f>
        <v>7.8548801574189142E-2</v>
      </c>
      <c r="AB683" s="28">
        <f>PRICE(Table1[[#This Row],[Issue date]],Table1[[#This Row],[Maturity date]],Table1[[#This Row],[Current coupon %]],Table1[[#This Row],[Average Cluster Yield]],100,Table1[[#This Row],[Coupon Frequency2]])*Table1[[#This Row],[Face value]]/100</f>
        <v>944960.40667099343</v>
      </c>
      <c r="AC683" s="27" t="str">
        <f>IF(Table1[[#This Row],[Ask Price]]&gt;Table1[[#This Row],[Calculated Bond Price]],"Rich","Cheap")</f>
        <v>Rich</v>
      </c>
      <c r="AD683" s="28">
        <f>PRICE(Table1[[#This Row],[Issue date]],Table1[[#This Row],[Maturity date]],Table1[[#This Row],[Current coupon %]],Table1[[#This Row],[Yield (Annualised)]]+$AE$2,100,Table1[[#This Row],[Coupon Frequency2]])*Table1[[#This Row],[Face value]]/100</f>
        <v>919034.80818220554</v>
      </c>
      <c r="AE683" s="28">
        <f>PRICE(Table1[[#This Row],[Issue date]],Table1[[#This Row],[Maturity date]],Table1[[#This Row],[Current coupon %]],Table1[[#This Row],[Yield (Annualised)]]-$AE$2,100,Table1[[#This Row],[Coupon Frequency2]])*Table1[[#This Row],[Face value]]/100</f>
        <v>1058419.0361874816</v>
      </c>
      <c r="AF683" s="28">
        <f>(Table1[[#This Row],[P (+ shock)]]+Table1[[#This Row],[P (-shock)]]-2*Table1[[#This Row],[Ask Price]])/(2*Table1[[#This Row],[Ask Price]]*($AE$2^2))</f>
        <v>31.858396923291092</v>
      </c>
    </row>
    <row r="684" spans="1:32" x14ac:dyDescent="0.25">
      <c r="A684" s="21" t="s">
        <v>1410</v>
      </c>
      <c r="B684" s="3" t="s">
        <v>1411</v>
      </c>
      <c r="C684" s="3" t="s">
        <v>19</v>
      </c>
      <c r="D684" s="4">
        <v>40831</v>
      </c>
      <c r="E684" s="4">
        <v>46310</v>
      </c>
      <c r="F684" s="3">
        <v>100000</v>
      </c>
      <c r="G684" s="3" t="s">
        <v>20</v>
      </c>
      <c r="H684" s="3">
        <v>108563.63</v>
      </c>
      <c r="I684" s="3" t="s">
        <v>20</v>
      </c>
      <c r="J684" s="3">
        <v>108.56363</v>
      </c>
      <c r="K684" s="3">
        <v>20</v>
      </c>
      <c r="L684" s="5">
        <v>7.7499999999999999E-2</v>
      </c>
      <c r="M684" s="3" t="s">
        <v>21</v>
      </c>
      <c r="N684" s="3">
        <v>393</v>
      </c>
      <c r="O684" s="6">
        <f>Table1[[#This Row],[Current coupon %]]*Table1[[#This Row],[Face value]]/Table1[[#This Row],[Ask Price]]</f>
        <v>7.1386706579358111E-2</v>
      </c>
      <c r="P684" s="3" t="s">
        <v>54</v>
      </c>
      <c r="Q684" s="3" t="s">
        <v>22</v>
      </c>
      <c r="R684">
        <f t="shared" si="10"/>
        <v>15</v>
      </c>
      <c r="S684" s="22" cm="1">
        <f t="array" ref="S684">_xlfn.IFS(Table1[[#This Row],[Coupon frequency]]="Semi-annual",2,Table1[[#This Row],[Coupon frequency]]="Quarterly",4,Table1[[#This Row],[Coupon frequency]]="Annual",1,Table1[[#This Row],[Coupon frequency]]="Every 4 months",3,Table1[[#This Row],[Coupon frequency]]="Monthly",12)</f>
        <v>1</v>
      </c>
      <c r="T684">
        <f>Table1[[#This Row],[Term to Maturity (Years)]]*Table1[[#This Row],[Coupon Frequency2]]</f>
        <v>15</v>
      </c>
      <c r="U684">
        <f>Table1[[#This Row],[Face value]]*Table1[[#This Row],[Current coupon %]]/Table1[[#This Row],[Coupon Frequency2]]</f>
        <v>7750</v>
      </c>
      <c r="V684" s="23">
        <f>RATE(Table1[[#This Row],[Total No. of Coupons]],Table1[[#This Row],[Coupon Amount]],-Table1[[#This Row],[Ask Price]],Table1[[#This Row],[Face value]])</f>
        <v>6.8203974192632855E-2</v>
      </c>
      <c r="W684" s="24">
        <f>Table1[[#This Row],[IRR]]*Table1[[#This Row],[Coupon Frequency2]]</f>
        <v>6.8203974192632855E-2</v>
      </c>
      <c r="X684" s="25" cm="1">
        <f t="array" ref="X68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4" s="26">
        <f>DURATION(Table1[[#This Row],[Issue date]],Table1[[#This Row],[Maturity date]],Table1[[#This Row],[Current coupon %]],Table1[[#This Row],[Yield (Annualised)]],Table1[[#This Row],[Coupon Frequency2]])</f>
        <v>9.5996754239326023</v>
      </c>
      <c r="Z684" s="26">
        <f>Table1[[#This Row],[Macaulay Duration in Years]]/(1+Table1[[#This Row],[IRR]])</f>
        <v>8.9867437828886612</v>
      </c>
      <c r="AA684" s="27">
        <f>VLOOKUP(Table1[[#This Row],[Yield Cluster]],'[1]Cluster Details'!$B$3:$C$16,2,0)</f>
        <v>7.8548801574189142E-2</v>
      </c>
      <c r="AB684" s="28">
        <f>PRICE(Table1[[#This Row],[Issue date]],Table1[[#This Row],[Maturity date]],Table1[[#This Row],[Current coupon %]],Table1[[#This Row],[Average Cluster Yield]],100,Table1[[#This Row],[Coupon Frequency2]])*Table1[[#This Row],[Face value]]/100</f>
        <v>99094.270776266887</v>
      </c>
      <c r="AC684" s="27" t="str">
        <f>IF(Table1[[#This Row],[Ask Price]]&gt;Table1[[#This Row],[Calculated Bond Price]],"Rich","Cheap")</f>
        <v>Rich</v>
      </c>
      <c r="AD684" s="28">
        <f>PRICE(Table1[[#This Row],[Issue date]],Table1[[#This Row],[Maturity date]],Table1[[#This Row],[Current coupon %]],Table1[[#This Row],[Yield (Annualised)]]+$AE$2,100,Table1[[#This Row],[Coupon Frequency2]])*Table1[[#This Row],[Face value]]/100</f>
        <v>99390.770066761004</v>
      </c>
      <c r="AE684" s="28">
        <f>PRICE(Table1[[#This Row],[Issue date]],Table1[[#This Row],[Maturity date]],Table1[[#This Row],[Current coupon %]],Table1[[#This Row],[Yield (Annualised)]]-$AE$2,100,Table1[[#This Row],[Coupon Frequency2]])*Table1[[#This Row],[Face value]]/100</f>
        <v>118962.68066958556</v>
      </c>
      <c r="AF684" s="28">
        <f>(Table1[[#This Row],[P (+ shock)]]+Table1[[#This Row],[P (-shock)]]-2*Table1[[#This Row],[Ask Price]])/(2*Table1[[#This Row],[Ask Price]]*($AE$2^2))</f>
        <v>56.473366648966959</v>
      </c>
    </row>
    <row r="685" spans="1:32" x14ac:dyDescent="0.25">
      <c r="A685" s="21" t="s">
        <v>1412</v>
      </c>
      <c r="B685" s="3" t="s">
        <v>1413</v>
      </c>
      <c r="C685" s="3" t="s">
        <v>19</v>
      </c>
      <c r="D685" s="4">
        <v>44218</v>
      </c>
      <c r="E685" s="4">
        <v>49696</v>
      </c>
      <c r="F685" s="3">
        <v>1000</v>
      </c>
      <c r="G685" s="3" t="s">
        <v>20</v>
      </c>
      <c r="H685" s="3">
        <v>977.87</v>
      </c>
      <c r="I685" s="3" t="s">
        <v>20</v>
      </c>
      <c r="J685" s="3">
        <v>97.787000000000006</v>
      </c>
      <c r="K685" s="3">
        <v>1144</v>
      </c>
      <c r="L685" s="5">
        <v>6.9699999999999998E-2</v>
      </c>
      <c r="M685" s="3" t="s">
        <v>44</v>
      </c>
      <c r="N685" s="3">
        <v>3779</v>
      </c>
      <c r="O685" s="6">
        <f>Table1[[#This Row],[Current coupon %]]*Table1[[#This Row],[Face value]]/Table1[[#This Row],[Ask Price]]</f>
        <v>7.1277368157321525E-2</v>
      </c>
      <c r="P685" s="3" t="s">
        <v>54</v>
      </c>
      <c r="Q685" s="3" t="s">
        <v>22</v>
      </c>
      <c r="R685">
        <f t="shared" si="10"/>
        <v>15</v>
      </c>
      <c r="S685" s="22" cm="1">
        <f t="array" ref="S685">_xlfn.IFS(Table1[[#This Row],[Coupon frequency]]="Semi-annual",2,Table1[[#This Row],[Coupon frequency]]="Quarterly",4,Table1[[#This Row],[Coupon frequency]]="Annual",1,Table1[[#This Row],[Coupon frequency]]="Every 4 months",3,Table1[[#This Row],[Coupon frequency]]="Monthly",12)</f>
        <v>4</v>
      </c>
      <c r="T685">
        <f>Table1[[#This Row],[Term to Maturity (Years)]]*Table1[[#This Row],[Coupon Frequency2]]</f>
        <v>60</v>
      </c>
      <c r="U685">
        <f>Table1[[#This Row],[Face value]]*Table1[[#This Row],[Current coupon %]]/Table1[[#This Row],[Coupon Frequency2]]</f>
        <v>17.425000000000001</v>
      </c>
      <c r="V685" s="23">
        <f>RATE(Table1[[#This Row],[Total No. of Coupons]],Table1[[#This Row],[Coupon Amount]],-Table1[[#This Row],[Ask Price]],Table1[[#This Row],[Face value]])</f>
        <v>1.8031660323184151E-2</v>
      </c>
      <c r="W685" s="24">
        <f>Table1[[#This Row],[IRR]]*Table1[[#This Row],[Coupon Frequency2]]</f>
        <v>7.2126641292736604E-2</v>
      </c>
      <c r="X685" s="25" cm="1">
        <f t="array" ref="X68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5" s="26">
        <f>DURATION(Table1[[#This Row],[Issue date]],Table1[[#This Row],[Maturity date]],Table1[[#This Row],[Current coupon %]],Table1[[#This Row],[Yield (Annualised)]],Table1[[#This Row],[Coupon Frequency2]])</f>
        <v>9.3513463659294302</v>
      </c>
      <c r="Z685" s="26">
        <f>Table1[[#This Row],[Macaulay Duration in Years]]/(1+Table1[[#This Row],[IRR]])</f>
        <v>9.1857127144363595</v>
      </c>
      <c r="AA685" s="27">
        <f>VLOOKUP(Table1[[#This Row],[Yield Cluster]],'[1]Cluster Details'!$B$3:$C$16,2,0)</f>
        <v>7.8548801574189142E-2</v>
      </c>
      <c r="AB685" s="28">
        <f>PRICE(Table1[[#This Row],[Issue date]],Table1[[#This Row],[Maturity date]],Table1[[#This Row],[Current coupon %]],Table1[[#This Row],[Average Cluster Yield]],100,Table1[[#This Row],[Coupon Frequency2]])*Table1[[#This Row],[Face value]]/100</f>
        <v>922.42200449150448</v>
      </c>
      <c r="AC685" s="27" t="str">
        <f>IF(Table1[[#This Row],[Ask Price]]&gt;Table1[[#This Row],[Calculated Bond Price]],"Rich","Cheap")</f>
        <v>Rich</v>
      </c>
      <c r="AD685" s="28">
        <f>PRICE(Table1[[#This Row],[Issue date]],Table1[[#This Row],[Maturity date]],Table1[[#This Row],[Current coupon %]],Table1[[#This Row],[Yield (Annualised)]]+$AE$2,100,Table1[[#This Row],[Coupon Frequency2]])*Table1[[#This Row],[Face value]]/100</f>
        <v>893.38652342019964</v>
      </c>
      <c r="AE685" s="28">
        <f>PRICE(Table1[[#This Row],[Issue date]],Table1[[#This Row],[Maturity date]],Table1[[#This Row],[Current coupon %]],Table1[[#This Row],[Yield (Annualised)]]-$AE$2,100,Table1[[#This Row],[Coupon Frequency2]])*Table1[[#This Row],[Face value]]/100</f>
        <v>1073.5512684537007</v>
      </c>
      <c r="AF685" s="28">
        <f>(Table1[[#This Row],[P (+ shock)]]+Table1[[#This Row],[P (-shock)]]-2*Table1[[#This Row],[Ask Price]])/(2*Table1[[#This Row],[Ask Price]]*($AE$2^2))</f>
        <v>57.256035433648208</v>
      </c>
    </row>
    <row r="686" spans="1:32" x14ac:dyDescent="0.25">
      <c r="A686" s="21" t="s">
        <v>1414</v>
      </c>
      <c r="B686" s="3" t="s">
        <v>1415</v>
      </c>
      <c r="C686" s="3" t="s">
        <v>19</v>
      </c>
      <c r="D686" s="4">
        <v>44207</v>
      </c>
      <c r="E686" s="4">
        <v>46033</v>
      </c>
      <c r="F686" s="3">
        <v>1000</v>
      </c>
      <c r="G686" s="3" t="s">
        <v>20</v>
      </c>
      <c r="H686" s="3">
        <v>1031.75</v>
      </c>
      <c r="I686" s="3" t="s">
        <v>20</v>
      </c>
      <c r="J686" s="3">
        <v>103.175</v>
      </c>
      <c r="K686" s="3">
        <v>1</v>
      </c>
      <c r="L686" s="5">
        <v>7.3499999999999996E-2</v>
      </c>
      <c r="M686" s="3" t="s">
        <v>21</v>
      </c>
      <c r="N686" s="3">
        <v>116</v>
      </c>
      <c r="O686" s="6">
        <f>Table1[[#This Row],[Current coupon %]]*Table1[[#This Row],[Face value]]/Table1[[#This Row],[Ask Price]]</f>
        <v>7.1238187545432513E-2</v>
      </c>
      <c r="P686" s="3" t="s">
        <v>97</v>
      </c>
      <c r="Q686" s="3" t="s">
        <v>22</v>
      </c>
      <c r="R686">
        <f t="shared" si="10"/>
        <v>5</v>
      </c>
      <c r="S686" s="22" cm="1">
        <f t="array" ref="S686">_xlfn.IFS(Table1[[#This Row],[Coupon frequency]]="Semi-annual",2,Table1[[#This Row],[Coupon frequency]]="Quarterly",4,Table1[[#This Row],[Coupon frequency]]="Annual",1,Table1[[#This Row],[Coupon frequency]]="Every 4 months",3,Table1[[#This Row],[Coupon frequency]]="Monthly",12)</f>
        <v>1</v>
      </c>
      <c r="T686">
        <f>Table1[[#This Row],[Term to Maturity (Years)]]*Table1[[#This Row],[Coupon Frequency2]]</f>
        <v>5</v>
      </c>
      <c r="U686">
        <f>Table1[[#This Row],[Face value]]*Table1[[#This Row],[Current coupon %]]/Table1[[#This Row],[Coupon Frequency2]]</f>
        <v>73.5</v>
      </c>
      <c r="V686" s="23">
        <f>RATE(Table1[[#This Row],[Total No. of Coupons]],Table1[[#This Row],[Coupon Amount]],-Table1[[#This Row],[Ask Price]],Table1[[#This Row],[Face value]])</f>
        <v>6.5842473884989247E-2</v>
      </c>
      <c r="W686" s="24">
        <f>Table1[[#This Row],[IRR]]*Table1[[#This Row],[Coupon Frequency2]]</f>
        <v>6.5842473884989247E-2</v>
      </c>
      <c r="X686" s="25" cm="1">
        <f t="array" ref="X68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6" s="26">
        <f>DURATION(Table1[[#This Row],[Issue date]],Table1[[#This Row],[Maturity date]],Table1[[#This Row],[Current coupon %]],Table1[[#This Row],[Yield (Annualised)]],Table1[[#This Row],[Coupon Frequency2]])</f>
        <v>4.3716548633367047</v>
      </c>
      <c r="Z686" s="26">
        <f>Table1[[#This Row],[Macaulay Duration in Years]]/(1+Table1[[#This Row],[IRR]])</f>
        <v>4.1015956583171711</v>
      </c>
      <c r="AA686" s="27">
        <f>VLOOKUP(Table1[[#This Row],[Yield Cluster]],'[1]Cluster Details'!$B$3:$C$16,2,0)</f>
        <v>7.8548801574189142E-2</v>
      </c>
      <c r="AB686" s="28">
        <f>PRICE(Table1[[#This Row],[Issue date]],Table1[[#This Row],[Maturity date]],Table1[[#This Row],[Current coupon %]],Table1[[#This Row],[Average Cluster Yield]],100,Table1[[#This Row],[Coupon Frequency2]])*Table1[[#This Row],[Face value]]/100</f>
        <v>979.76426122795431</v>
      </c>
      <c r="AC686" s="27" t="str">
        <f>IF(Table1[[#This Row],[Ask Price]]&gt;Table1[[#This Row],[Calculated Bond Price]],"Rich","Cheap")</f>
        <v>Rich</v>
      </c>
      <c r="AD686" s="28">
        <f>PRICE(Table1[[#This Row],[Issue date]],Table1[[#This Row],[Maturity date]],Table1[[#This Row],[Current coupon %]],Table1[[#This Row],[Yield (Annualised)]]+$AE$2,100,Table1[[#This Row],[Coupon Frequency2]])*Table1[[#This Row],[Face value]]/100</f>
        <v>990.54379279838247</v>
      </c>
      <c r="AE686" s="28">
        <f>PRICE(Table1[[#This Row],[Issue date]],Table1[[#This Row],[Maturity date]],Table1[[#This Row],[Current coupon %]],Table1[[#This Row],[Yield (Annualised)]]-$AE$2,100,Table1[[#This Row],[Coupon Frequency2]])*Table1[[#This Row],[Face value]]/100</f>
        <v>1075.2287783747224</v>
      </c>
      <c r="AF686" s="28">
        <f>(Table1[[#This Row],[P (+ shock)]]+Table1[[#This Row],[P (-shock)]]-2*Table1[[#This Row],[Ask Price]])/(2*Table1[[#This Row],[Ask Price]]*($AE$2^2))</f>
        <v>11.013187172788983</v>
      </c>
    </row>
    <row r="687" spans="1:32" x14ac:dyDescent="0.25">
      <c r="A687" s="21" t="s">
        <v>1416</v>
      </c>
      <c r="B687" s="3" t="s">
        <v>1417</v>
      </c>
      <c r="C687" s="3" t="s">
        <v>19</v>
      </c>
      <c r="D687" s="4">
        <v>42282</v>
      </c>
      <c r="E687" s="4">
        <v>45935</v>
      </c>
      <c r="F687" s="3">
        <v>1000</v>
      </c>
      <c r="G687" s="3" t="s">
        <v>20</v>
      </c>
      <c r="H687" s="3">
        <v>1000.21</v>
      </c>
      <c r="I687" s="3" t="s">
        <v>20</v>
      </c>
      <c r="J687" s="3">
        <v>100.021</v>
      </c>
      <c r="K687" s="3">
        <v>20</v>
      </c>
      <c r="L687" s="5">
        <v>7.1099999999999997E-2</v>
      </c>
      <c r="M687" s="3" t="s">
        <v>21</v>
      </c>
      <c r="N687" s="3">
        <v>18</v>
      </c>
      <c r="O687" s="6">
        <f>Table1[[#This Row],[Current coupon %]]*Table1[[#This Row],[Face value]]/Table1[[#This Row],[Ask Price]]</f>
        <v>7.1085072134851671E-2</v>
      </c>
      <c r="P687" s="3" t="s">
        <v>297</v>
      </c>
      <c r="Q687" s="3" t="s">
        <v>22</v>
      </c>
      <c r="R687">
        <f t="shared" si="10"/>
        <v>10</v>
      </c>
      <c r="S687" s="22" cm="1">
        <f t="array" ref="S687">_xlfn.IFS(Table1[[#This Row],[Coupon frequency]]="Semi-annual",2,Table1[[#This Row],[Coupon frequency]]="Quarterly",4,Table1[[#This Row],[Coupon frequency]]="Annual",1,Table1[[#This Row],[Coupon frequency]]="Every 4 months",3,Table1[[#This Row],[Coupon frequency]]="Monthly",12)</f>
        <v>1</v>
      </c>
      <c r="T687">
        <f>Table1[[#This Row],[Term to Maturity (Years)]]*Table1[[#This Row],[Coupon Frequency2]]</f>
        <v>10</v>
      </c>
      <c r="U687">
        <f>Table1[[#This Row],[Face value]]*Table1[[#This Row],[Current coupon %]]/Table1[[#This Row],[Coupon Frequency2]]</f>
        <v>71.099999999999994</v>
      </c>
      <c r="V687" s="23">
        <f>RATE(Table1[[#This Row],[Total No. of Coupons]],Table1[[#This Row],[Coupon Amount]],-Table1[[#This Row],[Ask Price]],Table1[[#This Row],[Face value]])</f>
        <v>7.1069952676676831E-2</v>
      </c>
      <c r="W687" s="24">
        <f>Table1[[#This Row],[IRR]]*Table1[[#This Row],[Coupon Frequency2]]</f>
        <v>7.1069952676676831E-2</v>
      </c>
      <c r="X687" s="25" cm="1">
        <f t="array" ref="X68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7" s="26">
        <f>DURATION(Table1[[#This Row],[Issue date]],Table1[[#This Row],[Maturity date]],Table1[[#This Row],[Current coupon %]],Table1[[#This Row],[Yield (Annualised)]],Table1[[#This Row],[Coupon Frequency2]])</f>
        <v>7.4851463481630374</v>
      </c>
      <c r="Z687" s="26">
        <f>Table1[[#This Row],[Macaulay Duration in Years]]/(1+Table1[[#This Row],[IRR]])</f>
        <v>6.9884757101598689</v>
      </c>
      <c r="AA687" s="27">
        <f>VLOOKUP(Table1[[#This Row],[Yield Cluster]],'[1]Cluster Details'!$B$3:$C$16,2,0)</f>
        <v>7.8548801574189142E-2</v>
      </c>
      <c r="AB687" s="28">
        <f>PRICE(Table1[[#This Row],[Issue date]],Table1[[#This Row],[Maturity date]],Table1[[#This Row],[Current coupon %]],Table1[[#This Row],[Average Cluster Yield]],100,Table1[[#This Row],[Coupon Frequency2]])*Table1[[#This Row],[Face value]]/100</f>
        <v>949.68911384355874</v>
      </c>
      <c r="AC687" s="27" t="str">
        <f>IF(Table1[[#This Row],[Ask Price]]&gt;Table1[[#This Row],[Calculated Bond Price]],"Rich","Cheap")</f>
        <v>Rich</v>
      </c>
      <c r="AD687" s="28">
        <f>PRICE(Table1[[#This Row],[Issue date]],Table1[[#This Row],[Maturity date]],Table1[[#This Row],[Current coupon %]],Table1[[#This Row],[Yield (Annualised)]]+$AE$2,100,Table1[[#This Row],[Coupon Frequency2]])*Table1[[#This Row],[Face value]]/100</f>
        <v>933.42246302662488</v>
      </c>
      <c r="AE687" s="28">
        <f>PRICE(Table1[[#This Row],[Issue date]],Table1[[#This Row],[Maturity date]],Table1[[#This Row],[Current coupon %]],Table1[[#This Row],[Yield (Annualised)]]-$AE$2,100,Table1[[#This Row],[Coupon Frequency2]])*Table1[[#This Row],[Face value]]/100</f>
        <v>1073.4492435459813</v>
      </c>
      <c r="AF687" s="28">
        <f>(Table1[[#This Row],[P (+ shock)]]+Table1[[#This Row],[P (-shock)]]-2*Table1[[#This Row],[Ask Price]])/(2*Table1[[#This Row],[Ask Price]]*($AE$2^2))</f>
        <v>32.251759993431868</v>
      </c>
    </row>
    <row r="688" spans="1:32" x14ac:dyDescent="0.25">
      <c r="A688" s="21" t="s">
        <v>1418</v>
      </c>
      <c r="B688" s="3" t="s">
        <v>1419</v>
      </c>
      <c r="C688" s="3" t="s">
        <v>19</v>
      </c>
      <c r="D688" s="4">
        <v>45147</v>
      </c>
      <c r="E688" s="4">
        <v>46274</v>
      </c>
      <c r="F688" s="3">
        <v>1000</v>
      </c>
      <c r="G688" s="3" t="s">
        <v>20</v>
      </c>
      <c r="H688" s="3">
        <v>1168.8</v>
      </c>
      <c r="I688" s="3" t="s">
        <v>20</v>
      </c>
      <c r="J688" s="3">
        <v>116.88</v>
      </c>
      <c r="K688" s="3">
        <v>120</v>
      </c>
      <c r="L688" s="5">
        <v>8.3000000000000004E-2</v>
      </c>
      <c r="M688" s="3" t="s">
        <v>21</v>
      </c>
      <c r="N688" s="3">
        <v>357</v>
      </c>
      <c r="O688" s="6">
        <f>Table1[[#This Row],[Current coupon %]]*Table1[[#This Row],[Face value]]/Table1[[#This Row],[Ask Price]]</f>
        <v>7.1013004791238885E-2</v>
      </c>
      <c r="P688" s="3"/>
      <c r="Q688" s="3" t="s">
        <v>22</v>
      </c>
      <c r="R688">
        <f t="shared" si="10"/>
        <v>3</v>
      </c>
      <c r="S688" s="22" cm="1">
        <f t="array" ref="S688">_xlfn.IFS(Table1[[#This Row],[Coupon frequency]]="Semi-annual",2,Table1[[#This Row],[Coupon frequency]]="Quarterly",4,Table1[[#This Row],[Coupon frequency]]="Annual",1,Table1[[#This Row],[Coupon frequency]]="Every 4 months",3,Table1[[#This Row],[Coupon frequency]]="Monthly",12)</f>
        <v>1</v>
      </c>
      <c r="T688">
        <f>Table1[[#This Row],[Term to Maturity (Years)]]*Table1[[#This Row],[Coupon Frequency2]]</f>
        <v>3</v>
      </c>
      <c r="U688">
        <f>Table1[[#This Row],[Face value]]*Table1[[#This Row],[Current coupon %]]/Table1[[#This Row],[Coupon Frequency2]]</f>
        <v>83</v>
      </c>
      <c r="V688" s="23">
        <f>RATE(Table1[[#This Row],[Total No. of Coupons]],Table1[[#This Row],[Coupon Amount]],-Table1[[#This Row],[Ask Price]],Table1[[#This Row],[Face value]])</f>
        <v>2.4010036897219811E-2</v>
      </c>
      <c r="W688" s="24">
        <f>Table1[[#This Row],[IRR]]*Table1[[#This Row],[Coupon Frequency2]]</f>
        <v>2.4010036897219811E-2</v>
      </c>
      <c r="X688" s="25" cm="1">
        <f t="array" ref="X68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688" s="26">
        <f>DURATION(Table1[[#This Row],[Issue date]],Table1[[#This Row],[Maturity date]],Table1[[#This Row],[Current coupon %]],Table1[[#This Row],[Yield (Annualised)]],Table1[[#This Row],[Coupon Frequency2]])</f>
        <v>2.6916883399959151</v>
      </c>
      <c r="Z688" s="26">
        <f>Table1[[#This Row],[Macaulay Duration in Years]]/(1+Table1[[#This Row],[IRR]])</f>
        <v>2.628576130124475</v>
      </c>
      <c r="AA688" s="27">
        <f>VLOOKUP(Table1[[#This Row],[Yield Cluster]],'[1]Cluster Details'!$B$3:$C$16,2,0)</f>
        <v>3.4641747232266588E-2</v>
      </c>
      <c r="AB688" s="28">
        <f>PRICE(Table1[[#This Row],[Issue date]],Table1[[#This Row],[Maturity date]],Table1[[#This Row],[Current coupon %]],Table1[[#This Row],[Average Cluster Yield]],100,Table1[[#This Row],[Coupon Frequency2]])*Table1[[#This Row],[Face value]]/100</f>
        <v>1139.0383698007943</v>
      </c>
      <c r="AC688" s="27" t="str">
        <f>IF(Table1[[#This Row],[Ask Price]]&gt;Table1[[#This Row],[Calculated Bond Price]],"Rich","Cheap")</f>
        <v>Rich</v>
      </c>
      <c r="AD688" s="28">
        <f>PRICE(Table1[[#This Row],[Issue date]],Table1[[#This Row],[Maturity date]],Table1[[#This Row],[Current coupon %]],Table1[[#This Row],[Yield (Annualised)]]+$AE$2,100,Table1[[#This Row],[Coupon Frequency2]])*Table1[[#This Row],[Face value]]/100</f>
        <v>1141.0318397781564</v>
      </c>
      <c r="AE688" s="28">
        <f>PRICE(Table1[[#This Row],[Issue date]],Table1[[#This Row],[Maturity date]],Table1[[#This Row],[Current coupon %]],Table1[[#This Row],[Yield (Annualised)]]-$AE$2,100,Table1[[#This Row],[Coupon Frequency2]])*Table1[[#This Row],[Face value]]/100</f>
        <v>1206.7317090917425</v>
      </c>
      <c r="AF688" s="28">
        <f>(Table1[[#This Row],[P (+ shock)]]+Table1[[#This Row],[P (-shock)]]-2*Table1[[#This Row],[Ask Price]])/(2*Table1[[#This Row],[Ask Price]]*($AE$2^2))</f>
        <v>43.478562927356826</v>
      </c>
    </row>
    <row r="689" spans="1:32" x14ac:dyDescent="0.25">
      <c r="A689" s="21" t="s">
        <v>1420</v>
      </c>
      <c r="B689" s="3" t="s">
        <v>1421</v>
      </c>
      <c r="C689" s="3" t="s">
        <v>19</v>
      </c>
      <c r="D689" s="4">
        <v>42452</v>
      </c>
      <c r="E689" s="4">
        <v>46104</v>
      </c>
      <c r="F689" s="3">
        <v>1000</v>
      </c>
      <c r="G689" s="3" t="s">
        <v>20</v>
      </c>
      <c r="H689" s="3">
        <v>1028.1300000000001</v>
      </c>
      <c r="I689" s="3" t="s">
        <v>20</v>
      </c>
      <c r="J689" s="3">
        <v>102.813</v>
      </c>
      <c r="K689" s="3">
        <v>500</v>
      </c>
      <c r="L689" s="5">
        <v>7.2900000000000006E-2</v>
      </c>
      <c r="M689" s="3" t="s">
        <v>21</v>
      </c>
      <c r="N689" s="3">
        <v>187</v>
      </c>
      <c r="O689" s="6">
        <f>Table1[[#This Row],[Current coupon %]]*Table1[[#This Row],[Face value]]/Table1[[#This Row],[Ask Price]]</f>
        <v>7.0905430247147738E-2</v>
      </c>
      <c r="P689" s="3"/>
      <c r="Q689" s="3" t="s">
        <v>22</v>
      </c>
      <c r="R689">
        <f t="shared" si="10"/>
        <v>10</v>
      </c>
      <c r="S689" s="22" cm="1">
        <f t="array" ref="S689">_xlfn.IFS(Table1[[#This Row],[Coupon frequency]]="Semi-annual",2,Table1[[#This Row],[Coupon frequency]]="Quarterly",4,Table1[[#This Row],[Coupon frequency]]="Annual",1,Table1[[#This Row],[Coupon frequency]]="Every 4 months",3,Table1[[#This Row],[Coupon frequency]]="Monthly",12)</f>
        <v>1</v>
      </c>
      <c r="T689">
        <f>Table1[[#This Row],[Term to Maturity (Years)]]*Table1[[#This Row],[Coupon Frequency2]]</f>
        <v>10</v>
      </c>
      <c r="U689">
        <f>Table1[[#This Row],[Face value]]*Table1[[#This Row],[Current coupon %]]/Table1[[#This Row],[Coupon Frequency2]]</f>
        <v>72.900000000000006</v>
      </c>
      <c r="V689" s="23">
        <f>RATE(Table1[[#This Row],[Total No. of Coupons]],Table1[[#This Row],[Coupon Amount]],-Table1[[#This Row],[Ask Price]],Table1[[#This Row],[Face value]])</f>
        <v>6.891498463277973E-2</v>
      </c>
      <c r="W689" s="24">
        <f>Table1[[#This Row],[IRR]]*Table1[[#This Row],[Coupon Frequency2]]</f>
        <v>6.891498463277973E-2</v>
      </c>
      <c r="X689" s="25" cm="1">
        <f t="array" ref="X68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89" s="26">
        <f>DURATION(Table1[[#This Row],[Issue date]],Table1[[#This Row],[Maturity date]],Table1[[#This Row],[Current coupon %]],Table1[[#This Row],[Yield (Annualised)]],Table1[[#This Row],[Coupon Frequency2]])</f>
        <v>7.4745159549218769</v>
      </c>
      <c r="Z689" s="26">
        <f>Table1[[#This Row],[Macaulay Duration in Years]]/(1+Table1[[#This Row],[IRR]])</f>
        <v>6.9926196773167222</v>
      </c>
      <c r="AA689" s="27">
        <f>VLOOKUP(Table1[[#This Row],[Yield Cluster]],'[1]Cluster Details'!$B$3:$C$16,2,0)</f>
        <v>7.8548801574189142E-2</v>
      </c>
      <c r="AB689" s="28">
        <f>PRICE(Table1[[#This Row],[Issue date]],Table1[[#This Row],[Maturity date]],Table1[[#This Row],[Current coupon %]],Table1[[#This Row],[Average Cluster Yield]],100,Table1[[#This Row],[Coupon Frequency2]])*Table1[[#This Row],[Face value]]/100</f>
        <v>961.84671989328842</v>
      </c>
      <c r="AC689" s="27" t="str">
        <f>IF(Table1[[#This Row],[Ask Price]]&gt;Table1[[#This Row],[Calculated Bond Price]],"Rich","Cheap")</f>
        <v>Rich</v>
      </c>
      <c r="AD689" s="28">
        <f>PRICE(Table1[[#This Row],[Issue date]],Table1[[#This Row],[Maturity date]],Table1[[#This Row],[Current coupon %]],Table1[[#This Row],[Yield (Annualised)]]+$AE$2,100,Table1[[#This Row],[Coupon Frequency2]])*Table1[[#This Row],[Face value]]/100</f>
        <v>959.44069115103719</v>
      </c>
      <c r="AE689" s="28">
        <f>PRICE(Table1[[#This Row],[Issue date]],Table1[[#This Row],[Maturity date]],Table1[[#This Row],[Current coupon %]],Table1[[#This Row],[Yield (Annualised)]]-$AE$2,100,Table1[[#This Row],[Coupon Frequency2]])*Table1[[#This Row],[Face value]]/100</f>
        <v>1103.4621241939412</v>
      </c>
      <c r="AF689" s="28">
        <f>(Table1[[#This Row],[P (+ shock)]]+Table1[[#This Row],[P (-shock)]]-2*Table1[[#This Row],[Ask Price]])/(2*Table1[[#This Row],[Ask Price]]*($AE$2^2))</f>
        <v>32.305327852403472</v>
      </c>
    </row>
    <row r="690" spans="1:32" x14ac:dyDescent="0.25">
      <c r="A690" s="21" t="s">
        <v>1422</v>
      </c>
      <c r="B690" s="3" t="s">
        <v>1423</v>
      </c>
      <c r="C690" s="3" t="s">
        <v>19</v>
      </c>
      <c r="D690" s="4">
        <v>41580</v>
      </c>
      <c r="E690" s="4">
        <v>48885</v>
      </c>
      <c r="F690" s="3">
        <v>1000</v>
      </c>
      <c r="G690" s="3" t="s">
        <v>20</v>
      </c>
      <c r="H690" s="3">
        <v>1259.99</v>
      </c>
      <c r="I690" s="3" t="s">
        <v>20</v>
      </c>
      <c r="J690" s="3">
        <v>125.999</v>
      </c>
      <c r="K690" s="3">
        <v>400</v>
      </c>
      <c r="L690" s="5">
        <v>8.9200000000000002E-2</v>
      </c>
      <c r="M690" s="3" t="s">
        <v>21</v>
      </c>
      <c r="N690" s="3">
        <v>2968</v>
      </c>
      <c r="O690" s="6">
        <f>Table1[[#This Row],[Current coupon %]]*Table1[[#This Row],[Face value]]/Table1[[#This Row],[Ask Price]]</f>
        <v>7.079421265248137E-2</v>
      </c>
      <c r="P690" s="3" t="s">
        <v>54</v>
      </c>
      <c r="Q690" s="3" t="s">
        <v>22</v>
      </c>
      <c r="R690">
        <f t="shared" si="10"/>
        <v>20</v>
      </c>
      <c r="S690" s="22" cm="1">
        <f t="array" ref="S690">_xlfn.IFS(Table1[[#This Row],[Coupon frequency]]="Semi-annual",2,Table1[[#This Row],[Coupon frequency]]="Quarterly",4,Table1[[#This Row],[Coupon frequency]]="Annual",1,Table1[[#This Row],[Coupon frequency]]="Every 4 months",3,Table1[[#This Row],[Coupon frequency]]="Monthly",12)</f>
        <v>1</v>
      </c>
      <c r="T690">
        <f>Table1[[#This Row],[Term to Maturity (Years)]]*Table1[[#This Row],[Coupon Frequency2]]</f>
        <v>20</v>
      </c>
      <c r="U690">
        <f>Table1[[#This Row],[Face value]]*Table1[[#This Row],[Current coupon %]]/Table1[[#This Row],[Coupon Frequency2]]</f>
        <v>89.2</v>
      </c>
      <c r="V690" s="23">
        <f>RATE(Table1[[#This Row],[Total No. of Coupons]],Table1[[#This Row],[Coupon Amount]],-Table1[[#This Row],[Ask Price]],Table1[[#This Row],[Face value]])</f>
        <v>6.5508795637025496E-2</v>
      </c>
      <c r="W690" s="24">
        <f>Table1[[#This Row],[IRR]]*Table1[[#This Row],[Coupon Frequency2]]</f>
        <v>6.5508795637025496E-2</v>
      </c>
      <c r="X690" s="25" cm="1">
        <f t="array" ref="X69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0" s="26">
        <f>DURATION(Table1[[#This Row],[Issue date]],Table1[[#This Row],[Maturity date]],Table1[[#This Row],[Current coupon %]],Table1[[#This Row],[Yield (Annualised)]],Table1[[#This Row],[Coupon Frequency2]])</f>
        <v>11.022787310118686</v>
      </c>
      <c r="Z690" s="26">
        <f>Table1[[#This Row],[Macaulay Duration in Years]]/(1+Table1[[#This Row],[IRR]])</f>
        <v>10.345092743723995</v>
      </c>
      <c r="AA690" s="27">
        <f>VLOOKUP(Table1[[#This Row],[Yield Cluster]],'[1]Cluster Details'!$B$3:$C$16,2,0)</f>
        <v>7.8548801574189142E-2</v>
      </c>
      <c r="AB690" s="28">
        <f>PRICE(Table1[[#This Row],[Issue date]],Table1[[#This Row],[Maturity date]],Table1[[#This Row],[Current coupon %]],Table1[[#This Row],[Average Cluster Yield]],100,Table1[[#This Row],[Coupon Frequency2]])*Table1[[#This Row],[Face value]]/100</f>
        <v>1105.7140938924622</v>
      </c>
      <c r="AC690" s="27" t="str">
        <f>IF(Table1[[#This Row],[Ask Price]]&gt;Table1[[#This Row],[Calculated Bond Price]],"Rich","Cheap")</f>
        <v>Rich</v>
      </c>
      <c r="AD690" s="28">
        <f>PRICE(Table1[[#This Row],[Issue date]],Table1[[#This Row],[Maturity date]],Table1[[#This Row],[Current coupon %]],Table1[[#This Row],[Yield (Annualised)]]+$AE$2,100,Table1[[#This Row],[Coupon Frequency2]])*Table1[[#This Row],[Face value]]/100</f>
        <v>1139.0364302773075</v>
      </c>
      <c r="AE690" s="28">
        <f>PRICE(Table1[[#This Row],[Issue date]],Table1[[#This Row],[Maturity date]],Table1[[#This Row],[Current coupon %]],Table1[[#This Row],[Yield (Annualised)]]-$AE$2,100,Table1[[#This Row],[Coupon Frequency2]])*Table1[[#This Row],[Face value]]/100</f>
        <v>1400.9286403093713</v>
      </c>
      <c r="AF690" s="28">
        <f>(Table1[[#This Row],[P (+ shock)]]+Table1[[#This Row],[P (-shock)]]-2*Table1[[#This Row],[Ask Price]])/(2*Table1[[#This Row],[Ask Price]]*($AE$2^2))</f>
        <v>79.306465077813442</v>
      </c>
    </row>
    <row r="691" spans="1:32" x14ac:dyDescent="0.25">
      <c r="A691" s="21" t="s">
        <v>1424</v>
      </c>
      <c r="B691" s="3" t="s">
        <v>1425</v>
      </c>
      <c r="C691" s="3" t="s">
        <v>19</v>
      </c>
      <c r="D691" s="4">
        <v>43886</v>
      </c>
      <c r="E691" s="4">
        <v>47539</v>
      </c>
      <c r="F691" s="3">
        <v>1000000</v>
      </c>
      <c r="G691" s="3" t="s">
        <v>20</v>
      </c>
      <c r="H691" s="3">
        <v>1048986.3999999999</v>
      </c>
      <c r="I691" s="3" t="s">
        <v>20</v>
      </c>
      <c r="J691" s="3">
        <v>104.89864</v>
      </c>
      <c r="K691" s="3">
        <v>1</v>
      </c>
      <c r="L691" s="5">
        <v>7.4099999999999999E-2</v>
      </c>
      <c r="M691" s="3" t="s">
        <v>21</v>
      </c>
      <c r="N691" s="3">
        <v>1622</v>
      </c>
      <c r="O691" s="6">
        <f>Table1[[#This Row],[Current coupon %]]*Table1[[#This Row],[Face value]]/Table1[[#This Row],[Ask Price]]</f>
        <v>7.0639619350641725E-2</v>
      </c>
      <c r="P691" s="3" t="s">
        <v>54</v>
      </c>
      <c r="Q691" s="3" t="s">
        <v>22</v>
      </c>
      <c r="R691">
        <f t="shared" si="10"/>
        <v>10</v>
      </c>
      <c r="S691" s="22" cm="1">
        <f t="array" ref="S691">_xlfn.IFS(Table1[[#This Row],[Coupon frequency]]="Semi-annual",2,Table1[[#This Row],[Coupon frequency]]="Quarterly",4,Table1[[#This Row],[Coupon frequency]]="Annual",1,Table1[[#This Row],[Coupon frequency]]="Every 4 months",3,Table1[[#This Row],[Coupon frequency]]="Monthly",12)</f>
        <v>1</v>
      </c>
      <c r="T691">
        <f>Table1[[#This Row],[Term to Maturity (Years)]]*Table1[[#This Row],[Coupon Frequency2]]</f>
        <v>10</v>
      </c>
      <c r="U691">
        <f>Table1[[#This Row],[Face value]]*Table1[[#This Row],[Current coupon %]]/Table1[[#This Row],[Coupon Frequency2]]</f>
        <v>74100</v>
      </c>
      <c r="V691" s="23">
        <f>RATE(Table1[[#This Row],[Total No. of Coupons]],Table1[[#This Row],[Coupon Amount]],-Table1[[#This Row],[Ask Price]],Table1[[#This Row],[Face value]])</f>
        <v>6.7214956873998283E-2</v>
      </c>
      <c r="W691" s="24">
        <f>Table1[[#This Row],[IRR]]*Table1[[#This Row],[Coupon Frequency2]]</f>
        <v>6.7214956873998283E-2</v>
      </c>
      <c r="X691" s="25" cm="1">
        <f t="array" ref="X69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1" s="26">
        <f>DURATION(Table1[[#This Row],[Issue date]],Table1[[#This Row],[Maturity date]],Table1[[#This Row],[Current coupon %]],Table1[[#This Row],[Yield (Annualised)]],Table1[[#This Row],[Coupon Frequency2]])</f>
        <v>7.4704964745013633</v>
      </c>
      <c r="Z691" s="26">
        <f>Table1[[#This Row],[Macaulay Duration in Years]]/(1+Table1[[#This Row],[IRR]])</f>
        <v>6.999992294320303</v>
      </c>
      <c r="AA691" s="27">
        <f>VLOOKUP(Table1[[#This Row],[Yield Cluster]],'[1]Cluster Details'!$B$3:$C$16,2,0)</f>
        <v>7.8548801574189142E-2</v>
      </c>
      <c r="AB691" s="28">
        <f>PRICE(Table1[[#This Row],[Issue date]],Table1[[#This Row],[Maturity date]],Table1[[#This Row],[Current coupon %]],Table1[[#This Row],[Average Cluster Yield]],100,Table1[[#This Row],[Coupon Frequency2]])*Table1[[#This Row],[Face value]]/100</f>
        <v>969951.79059310781</v>
      </c>
      <c r="AC691" s="27" t="str">
        <f>IF(Table1[[#This Row],[Ask Price]]&gt;Table1[[#This Row],[Calculated Bond Price]],"Rich","Cheap")</f>
        <v>Rich</v>
      </c>
      <c r="AD691" s="28">
        <f>PRICE(Table1[[#This Row],[Issue date]],Table1[[#This Row],[Maturity date]],Table1[[#This Row],[Current coupon %]],Table1[[#This Row],[Yield (Annualised)]]+$AE$2,100,Table1[[#This Row],[Coupon Frequency2]])*Table1[[#This Row],[Face value]]/100</f>
        <v>978833.25750709593</v>
      </c>
      <c r="AE691" s="28">
        <f>PRICE(Table1[[#This Row],[Issue date]],Table1[[#This Row],[Maturity date]],Table1[[#This Row],[Current coupon %]],Table1[[#This Row],[Yield (Annualised)]]-$AE$2,100,Table1[[#This Row],[Coupon Frequency2]])*Table1[[#This Row],[Face value]]/100</f>
        <v>1125931.76739101</v>
      </c>
      <c r="AF691" s="28">
        <f>(Table1[[#This Row],[P (+ shock)]]+Table1[[#This Row],[P (-shock)]]-2*Table1[[#This Row],[Ask Price]])/(2*Table1[[#This Row],[Ask Price]]*($AE$2^2))</f>
        <v>32.375180927540875</v>
      </c>
    </row>
    <row r="692" spans="1:32" x14ac:dyDescent="0.25">
      <c r="A692" s="21" t="s">
        <v>1426</v>
      </c>
      <c r="B692" s="3" t="s">
        <v>1427</v>
      </c>
      <c r="C692" s="3" t="s">
        <v>19</v>
      </c>
      <c r="D692" s="4">
        <v>41725</v>
      </c>
      <c r="E692" s="4">
        <v>49030</v>
      </c>
      <c r="F692" s="3">
        <v>1000</v>
      </c>
      <c r="G692" s="3" t="s">
        <v>20</v>
      </c>
      <c r="H692" s="3">
        <v>1250</v>
      </c>
      <c r="I692" s="3" t="s">
        <v>20</v>
      </c>
      <c r="J692" s="3">
        <v>125</v>
      </c>
      <c r="K692" s="3">
        <v>1666</v>
      </c>
      <c r="L692" s="5">
        <v>8.8000000000000009E-2</v>
      </c>
      <c r="M692" s="3" t="s">
        <v>21</v>
      </c>
      <c r="N692" s="3">
        <v>3113</v>
      </c>
      <c r="O692" s="6">
        <f>Table1[[#This Row],[Current coupon %]]*Table1[[#This Row],[Face value]]/Table1[[#This Row],[Ask Price]]</f>
        <v>7.0400000000000018E-2</v>
      </c>
      <c r="P692" s="3" t="s">
        <v>54</v>
      </c>
      <c r="Q692" s="3" t="s">
        <v>22</v>
      </c>
      <c r="R692">
        <f t="shared" si="10"/>
        <v>20</v>
      </c>
      <c r="S692" s="22" cm="1">
        <f t="array" ref="S692">_xlfn.IFS(Table1[[#This Row],[Coupon frequency]]="Semi-annual",2,Table1[[#This Row],[Coupon frequency]]="Quarterly",4,Table1[[#This Row],[Coupon frequency]]="Annual",1,Table1[[#This Row],[Coupon frequency]]="Every 4 months",3,Table1[[#This Row],[Coupon frequency]]="Monthly",12)</f>
        <v>1</v>
      </c>
      <c r="T692">
        <f>Table1[[#This Row],[Term to Maturity (Years)]]*Table1[[#This Row],[Coupon Frequency2]]</f>
        <v>20</v>
      </c>
      <c r="U692">
        <f>Table1[[#This Row],[Face value]]*Table1[[#This Row],[Current coupon %]]/Table1[[#This Row],[Coupon Frequency2]]</f>
        <v>88.000000000000014</v>
      </c>
      <c r="V692" s="23">
        <f>RATE(Table1[[#This Row],[Total No. of Coupons]],Table1[[#This Row],[Coupon Amount]],-Table1[[#This Row],[Ask Price]],Table1[[#This Row],[Face value]])</f>
        <v>6.5263406237996507E-2</v>
      </c>
      <c r="W692" s="24">
        <f>Table1[[#This Row],[IRR]]*Table1[[#This Row],[Coupon Frequency2]]</f>
        <v>6.5263406237996507E-2</v>
      </c>
      <c r="X692" s="25" cm="1">
        <f t="array" ref="X69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2" s="26">
        <f>DURATION(Table1[[#This Row],[Issue date]],Table1[[#This Row],[Maturity date]],Table1[[#This Row],[Current coupon %]],Table1[[#This Row],[Yield (Annualised)]],Table1[[#This Row],[Coupon Frequency2]])</f>
        <v>11.060867918430628</v>
      </c>
      <c r="Z692" s="26">
        <f>Table1[[#This Row],[Macaulay Duration in Years]]/(1+Table1[[#This Row],[IRR]])</f>
        <v>10.383223392130169</v>
      </c>
      <c r="AA692" s="27">
        <f>VLOOKUP(Table1[[#This Row],[Yield Cluster]],'[1]Cluster Details'!$B$3:$C$16,2,0)</f>
        <v>7.8548801574189142E-2</v>
      </c>
      <c r="AB692" s="28">
        <f>PRICE(Table1[[#This Row],[Issue date]],Table1[[#This Row],[Maturity date]],Table1[[#This Row],[Current coupon %]],Table1[[#This Row],[Average Cluster Yield]],100,Table1[[#This Row],[Coupon Frequency2]])*Table1[[#This Row],[Face value]]/100</f>
        <v>1093.8039869167492</v>
      </c>
      <c r="AC692" s="27" t="str">
        <f>IF(Table1[[#This Row],[Ask Price]]&gt;Table1[[#This Row],[Calculated Bond Price]],"Rich","Cheap")</f>
        <v>Rich</v>
      </c>
      <c r="AD692" s="28">
        <f>PRICE(Table1[[#This Row],[Issue date]],Table1[[#This Row],[Maturity date]],Table1[[#This Row],[Current coupon %]],Table1[[#This Row],[Yield (Annualised)]]+$AE$2,100,Table1[[#This Row],[Coupon Frequency2]])*Table1[[#This Row],[Face value]]/100</f>
        <v>1129.583400416619</v>
      </c>
      <c r="AE692" s="28">
        <f>PRICE(Table1[[#This Row],[Issue date]],Table1[[#This Row],[Maturity date]],Table1[[#This Row],[Current coupon %]],Table1[[#This Row],[Yield (Annualised)]]-$AE$2,100,Table1[[#This Row],[Coupon Frequency2]])*Table1[[#This Row],[Face value]]/100</f>
        <v>1390.3612816710925</v>
      </c>
      <c r="AF692" s="28">
        <f>(Table1[[#This Row],[P (+ shock)]]+Table1[[#This Row],[P (-shock)]]-2*Table1[[#This Row],[Ask Price]])/(2*Table1[[#This Row],[Ask Price]]*($AE$2^2))</f>
        <v>79.778728350845995</v>
      </c>
    </row>
    <row r="693" spans="1:32" x14ac:dyDescent="0.25">
      <c r="A693" s="21" t="s">
        <v>1428</v>
      </c>
      <c r="B693" s="3" t="s">
        <v>1429</v>
      </c>
      <c r="C693" s="3" t="s">
        <v>19</v>
      </c>
      <c r="D693" s="4">
        <v>42452</v>
      </c>
      <c r="E693" s="4">
        <v>46104</v>
      </c>
      <c r="F693" s="3">
        <v>1000</v>
      </c>
      <c r="G693" s="3" t="s">
        <v>20</v>
      </c>
      <c r="H693" s="3">
        <v>1000.1</v>
      </c>
      <c r="I693" s="3" t="s">
        <v>20</v>
      </c>
      <c r="J693" s="3">
        <v>100.01</v>
      </c>
      <c r="K693" s="3">
        <v>8</v>
      </c>
      <c r="L693" s="5">
        <v>7.0400000000000004E-2</v>
      </c>
      <c r="M693" s="3" t="s">
        <v>21</v>
      </c>
      <c r="N693" s="3">
        <v>187</v>
      </c>
      <c r="O693" s="6">
        <f>Table1[[#This Row],[Current coupon %]]*Table1[[#This Row],[Face value]]/Table1[[#This Row],[Ask Price]]</f>
        <v>7.0392960703929613E-2</v>
      </c>
      <c r="P693" s="3"/>
      <c r="Q693" s="3" t="s">
        <v>22</v>
      </c>
      <c r="R693">
        <f t="shared" si="10"/>
        <v>10</v>
      </c>
      <c r="S693" s="22" cm="1">
        <f t="array" ref="S693">_xlfn.IFS(Table1[[#This Row],[Coupon frequency]]="Semi-annual",2,Table1[[#This Row],[Coupon frequency]]="Quarterly",4,Table1[[#This Row],[Coupon frequency]]="Annual",1,Table1[[#This Row],[Coupon frequency]]="Every 4 months",3,Table1[[#This Row],[Coupon frequency]]="Monthly",12)</f>
        <v>1</v>
      </c>
      <c r="T693">
        <f>Table1[[#This Row],[Term to Maturity (Years)]]*Table1[[#This Row],[Coupon Frequency2]]</f>
        <v>10</v>
      </c>
      <c r="U693">
        <f>Table1[[#This Row],[Face value]]*Table1[[#This Row],[Current coupon %]]/Table1[[#This Row],[Coupon Frequency2]]</f>
        <v>70.400000000000006</v>
      </c>
      <c r="V693" s="23">
        <f>RATE(Table1[[#This Row],[Total No. of Coupons]],Table1[[#This Row],[Coupon Amount]],-Table1[[#This Row],[Ask Price]],Table1[[#This Row],[Face value]])</f>
        <v>7.0385736853213823E-2</v>
      </c>
      <c r="W693" s="24">
        <f>Table1[[#This Row],[IRR]]*Table1[[#This Row],[Coupon Frequency2]]</f>
        <v>7.0385736853213823E-2</v>
      </c>
      <c r="X693" s="25" cm="1">
        <f t="array" ref="X69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3" s="26">
        <f>DURATION(Table1[[#This Row],[Issue date]],Table1[[#This Row],[Maturity date]],Table1[[#This Row],[Current coupon %]],Table1[[#This Row],[Yield (Annualised)]],Table1[[#This Row],[Coupon Frequency2]])</f>
        <v>7.5042986803227532</v>
      </c>
      <c r="Z693" s="26">
        <f>Table1[[#This Row],[Macaulay Duration in Years]]/(1+Table1[[#This Row],[IRR]])</f>
        <v>7.0108358341772696</v>
      </c>
      <c r="AA693" s="27">
        <f>VLOOKUP(Table1[[#This Row],[Yield Cluster]],'[1]Cluster Details'!$B$3:$C$16,2,0)</f>
        <v>7.8548801574189142E-2</v>
      </c>
      <c r="AB693" s="28">
        <f>PRICE(Table1[[#This Row],[Issue date]],Table1[[#This Row],[Maturity date]],Table1[[#This Row],[Current coupon %]],Table1[[#This Row],[Average Cluster Yield]],100,Table1[[#This Row],[Coupon Frequency2]])*Table1[[#This Row],[Face value]]/100</f>
        <v>944.96115593533091</v>
      </c>
      <c r="AC693" s="27" t="str">
        <f>IF(Table1[[#This Row],[Ask Price]]&gt;Table1[[#This Row],[Calculated Bond Price]],"Rich","Cheap")</f>
        <v>Rich</v>
      </c>
      <c r="AD693" s="28">
        <f>PRICE(Table1[[#This Row],[Issue date]],Table1[[#This Row],[Maturity date]],Table1[[#This Row],[Current coupon %]],Table1[[#This Row],[Yield (Annualised)]]+$AE$2,100,Table1[[#This Row],[Coupon Frequency2]])*Table1[[#This Row],[Face value]]/100</f>
        <v>933.11131588678313</v>
      </c>
      <c r="AE693" s="28">
        <f>PRICE(Table1[[#This Row],[Issue date]],Table1[[#This Row],[Maturity date]],Table1[[#This Row],[Current coupon %]],Table1[[#This Row],[Yield (Annualised)]]-$AE$2,100,Table1[[#This Row],[Coupon Frequency2]])*Table1[[#This Row],[Face value]]/100</f>
        <v>1073.5713364246772</v>
      </c>
      <c r="AF693" s="28">
        <f>(Table1[[#This Row],[P (+ shock)]]+Table1[[#This Row],[P (-shock)]]-2*Table1[[#This Row],[Ask Price]])/(2*Table1[[#This Row],[Ask Price]]*($AE$2^2))</f>
        <v>32.410020555245687</v>
      </c>
    </row>
    <row r="694" spans="1:32" x14ac:dyDescent="0.25">
      <c r="A694" s="21" t="s">
        <v>1430</v>
      </c>
      <c r="B694" s="3" t="s">
        <v>1431</v>
      </c>
      <c r="C694" s="3" t="s">
        <v>19</v>
      </c>
      <c r="D694" s="4">
        <v>44218</v>
      </c>
      <c r="E694" s="4">
        <v>49696</v>
      </c>
      <c r="F694" s="3">
        <v>1000</v>
      </c>
      <c r="G694" s="3" t="s">
        <v>20</v>
      </c>
      <c r="H694" s="3">
        <v>1020</v>
      </c>
      <c r="I694" s="3" t="s">
        <v>20</v>
      </c>
      <c r="J694" s="3">
        <v>102</v>
      </c>
      <c r="K694" s="3">
        <v>150</v>
      </c>
      <c r="L694" s="5">
        <v>7.1500000000000008E-2</v>
      </c>
      <c r="M694" s="3" t="s">
        <v>21</v>
      </c>
      <c r="N694" s="3">
        <v>3779</v>
      </c>
      <c r="O694" s="6">
        <f>Table1[[#This Row],[Current coupon %]]*Table1[[#This Row],[Face value]]/Table1[[#This Row],[Ask Price]]</f>
        <v>7.0098039215686289E-2</v>
      </c>
      <c r="P694" s="3" t="s">
        <v>54</v>
      </c>
      <c r="Q694" s="3" t="s">
        <v>22</v>
      </c>
      <c r="R694">
        <f t="shared" si="10"/>
        <v>15</v>
      </c>
      <c r="S694" s="22" cm="1">
        <f t="array" ref="S694">_xlfn.IFS(Table1[[#This Row],[Coupon frequency]]="Semi-annual",2,Table1[[#This Row],[Coupon frequency]]="Quarterly",4,Table1[[#This Row],[Coupon frequency]]="Annual",1,Table1[[#This Row],[Coupon frequency]]="Every 4 months",3,Table1[[#This Row],[Coupon frequency]]="Monthly",12)</f>
        <v>1</v>
      </c>
      <c r="T694">
        <f>Table1[[#This Row],[Term to Maturity (Years)]]*Table1[[#This Row],[Coupon Frequency2]]</f>
        <v>15</v>
      </c>
      <c r="U694">
        <f>Table1[[#This Row],[Face value]]*Table1[[#This Row],[Current coupon %]]/Table1[[#This Row],[Coupon Frequency2]]</f>
        <v>71.500000000000014</v>
      </c>
      <c r="V694" s="23">
        <f>RATE(Table1[[#This Row],[Total No. of Coupons]],Table1[[#This Row],[Coupon Amount]],-Table1[[#This Row],[Ask Price]],Table1[[#This Row],[Face value]])</f>
        <v>6.9313617786434023E-2</v>
      </c>
      <c r="W694" s="24">
        <f>Table1[[#This Row],[IRR]]*Table1[[#This Row],[Coupon Frequency2]]</f>
        <v>6.9313617786434023E-2</v>
      </c>
      <c r="X694" s="25" cm="1">
        <f t="array" ref="X69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4" s="26">
        <f>DURATION(Table1[[#This Row],[Issue date]],Table1[[#This Row],[Maturity date]],Table1[[#This Row],[Current coupon %]],Table1[[#This Row],[Yield (Annualised)]],Table1[[#This Row],[Coupon Frequency2]])</f>
        <v>9.722523118020753</v>
      </c>
      <c r="Z694" s="26">
        <f>Table1[[#This Row],[Macaulay Duration in Years]]/(1+Table1[[#This Row],[IRR]])</f>
        <v>9.0923027223268367</v>
      </c>
      <c r="AA694" s="27">
        <f>VLOOKUP(Table1[[#This Row],[Yield Cluster]],'[1]Cluster Details'!$B$3:$C$16,2,0)</f>
        <v>7.8548801574189142E-2</v>
      </c>
      <c r="AB694" s="28">
        <f>PRICE(Table1[[#This Row],[Issue date]],Table1[[#This Row],[Maturity date]],Table1[[#This Row],[Current coupon %]],Table1[[#This Row],[Average Cluster Yield]],100,Table1[[#This Row],[Coupon Frequency2]])*Table1[[#This Row],[Face value]]/100</f>
        <v>939.12761255173098</v>
      </c>
      <c r="AC694" s="27" t="str">
        <f>IF(Table1[[#This Row],[Ask Price]]&gt;Table1[[#This Row],[Calculated Bond Price]],"Rich","Cheap")</f>
        <v>Rich</v>
      </c>
      <c r="AD694" s="28">
        <f>PRICE(Table1[[#This Row],[Issue date]],Table1[[#This Row],[Maturity date]],Table1[[#This Row],[Current coupon %]],Table1[[#This Row],[Yield (Annualised)]]+$AE$2,100,Table1[[#This Row],[Coupon Frequency2]])*Table1[[#This Row],[Face value]]/100</f>
        <v>932.83829142564548</v>
      </c>
      <c r="AE694" s="28">
        <f>PRICE(Table1[[#This Row],[Issue date]],Table1[[#This Row],[Maturity date]],Table1[[#This Row],[Current coupon %]],Table1[[#This Row],[Yield (Annualised)]]-$AE$2,100,Table1[[#This Row],[Coupon Frequency2]])*Table1[[#This Row],[Face value]]/100</f>
        <v>1118.8897973077073</v>
      </c>
      <c r="AF694" s="28">
        <f>(Table1[[#This Row],[P (+ shock)]]+Table1[[#This Row],[P (-shock)]]-2*Table1[[#This Row],[Ask Price]])/(2*Table1[[#This Row],[Ask Price]]*($AE$2^2))</f>
        <v>57.490631045846598</v>
      </c>
    </row>
    <row r="695" spans="1:32" x14ac:dyDescent="0.25">
      <c r="A695" s="21" t="s">
        <v>1432</v>
      </c>
      <c r="B695" s="3" t="s">
        <v>1433</v>
      </c>
      <c r="C695" s="3" t="s">
        <v>19</v>
      </c>
      <c r="D695" s="4">
        <v>41243</v>
      </c>
      <c r="E695" s="4">
        <v>46721</v>
      </c>
      <c r="F695" s="3">
        <v>1000000</v>
      </c>
      <c r="G695" s="3" t="s">
        <v>20</v>
      </c>
      <c r="H695" s="3">
        <v>1053641.01</v>
      </c>
      <c r="I695" s="3" t="s">
        <v>20</v>
      </c>
      <c r="J695" s="3">
        <v>105.36410100000001</v>
      </c>
      <c r="K695" s="3">
        <v>2</v>
      </c>
      <c r="L695" s="5">
        <v>7.3800000000000004E-2</v>
      </c>
      <c r="M695" s="3" t="s">
        <v>21</v>
      </c>
      <c r="N695" s="3">
        <v>804</v>
      </c>
      <c r="O695" s="6">
        <f>Table1[[#This Row],[Current coupon %]]*Table1[[#This Row],[Face value]]/Table1[[#This Row],[Ask Price]]</f>
        <v>7.0042831761075813E-2</v>
      </c>
      <c r="P695" s="3" t="s">
        <v>297</v>
      </c>
      <c r="Q695" s="3" t="s">
        <v>22</v>
      </c>
      <c r="R695">
        <f t="shared" si="10"/>
        <v>15</v>
      </c>
      <c r="S695" s="22" cm="1">
        <f t="array" ref="S695">_xlfn.IFS(Table1[[#This Row],[Coupon frequency]]="Semi-annual",2,Table1[[#This Row],[Coupon frequency]]="Quarterly",4,Table1[[#This Row],[Coupon frequency]]="Annual",1,Table1[[#This Row],[Coupon frequency]]="Every 4 months",3,Table1[[#This Row],[Coupon frequency]]="Monthly",12)</f>
        <v>1</v>
      </c>
      <c r="T695">
        <f>Table1[[#This Row],[Term to Maturity (Years)]]*Table1[[#This Row],[Coupon Frequency2]]</f>
        <v>15</v>
      </c>
      <c r="U695">
        <f>Table1[[#This Row],[Face value]]*Table1[[#This Row],[Current coupon %]]/Table1[[#This Row],[Coupon Frequency2]]</f>
        <v>73800</v>
      </c>
      <c r="V695" s="23">
        <f>RATE(Table1[[#This Row],[Total No. of Coupons]],Table1[[#This Row],[Coupon Amount]],-Table1[[#This Row],[Ask Price]],Table1[[#This Row],[Face value]])</f>
        <v>6.7985231119525383E-2</v>
      </c>
      <c r="W695" s="24">
        <f>Table1[[#This Row],[IRR]]*Table1[[#This Row],[Coupon Frequency2]]</f>
        <v>6.7985231119525383E-2</v>
      </c>
      <c r="X695" s="25" cm="1">
        <f t="array" ref="X69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5" s="26">
        <f>DURATION(Table1[[#This Row],[Issue date]],Table1[[#This Row],[Maturity date]],Table1[[#This Row],[Current coupon %]],Table1[[#This Row],[Yield (Annualised)]],Table1[[#This Row],[Coupon Frequency2]])</f>
        <v>9.6963183265834179</v>
      </c>
      <c r="Z695" s="26">
        <f>Table1[[#This Row],[Macaulay Duration in Years]]/(1+Table1[[#This Row],[IRR]])</f>
        <v>9.0790752943457491</v>
      </c>
      <c r="AA695" s="27">
        <f>VLOOKUP(Table1[[#This Row],[Yield Cluster]],'[1]Cluster Details'!$B$3:$C$16,2,0)</f>
        <v>7.8548801574189142E-2</v>
      </c>
      <c r="AB695" s="28">
        <f>PRICE(Table1[[#This Row],[Issue date]],Table1[[#This Row],[Maturity date]],Table1[[#This Row],[Current coupon %]],Table1[[#This Row],[Average Cluster Yield]],100,Table1[[#This Row],[Coupon Frequency2]])*Table1[[#This Row],[Face value]]/100</f>
        <v>958990.06571592391</v>
      </c>
      <c r="AC695" s="27" t="str">
        <f>IF(Table1[[#This Row],[Ask Price]]&gt;Table1[[#This Row],[Calculated Bond Price]],"Rich","Cheap")</f>
        <v>Rich</v>
      </c>
      <c r="AD695" s="28">
        <f>PRICE(Table1[[#This Row],[Issue date]],Table1[[#This Row],[Maturity date]],Table1[[#This Row],[Current coupon %]],Table1[[#This Row],[Yield (Annualised)]]+$AE$2,100,Table1[[#This Row],[Coupon Frequency2]])*Table1[[#This Row],[Face value]]/100</f>
        <v>963731.65388987376</v>
      </c>
      <c r="AE695" s="28">
        <f>PRICE(Table1[[#This Row],[Issue date]],Table1[[#This Row],[Maturity date]],Table1[[#This Row],[Current coupon %]],Table1[[#This Row],[Yield (Annualised)]]-$AE$2,100,Table1[[#This Row],[Coupon Frequency2]])*Table1[[#This Row],[Face value]]/100</f>
        <v>1155639.365283391</v>
      </c>
      <c r="AF695" s="28">
        <f>(Table1[[#This Row],[P (+ shock)]]+Table1[[#This Row],[P (-shock)]]-2*Table1[[#This Row],[Ask Price]])/(2*Table1[[#This Row],[Ask Price]]*($AE$2^2))</f>
        <v>57.367732740701143</v>
      </c>
    </row>
    <row r="696" spans="1:32" x14ac:dyDescent="0.25">
      <c r="A696" s="21" t="s">
        <v>1434</v>
      </c>
      <c r="B696" s="3" t="s">
        <v>1435</v>
      </c>
      <c r="C696" s="3" t="s">
        <v>19</v>
      </c>
      <c r="D696" s="4">
        <v>43675</v>
      </c>
      <c r="E696" s="4">
        <v>49154</v>
      </c>
      <c r="F696" s="3">
        <v>1000000</v>
      </c>
      <c r="G696" s="3" t="s">
        <v>20</v>
      </c>
      <c r="H696" s="3">
        <v>1078005</v>
      </c>
      <c r="I696" s="3" t="s">
        <v>20</v>
      </c>
      <c r="J696" s="3">
        <v>107.8005</v>
      </c>
      <c r="K696" s="3">
        <v>10</v>
      </c>
      <c r="L696" s="5">
        <v>7.5399999999999995E-2</v>
      </c>
      <c r="M696" s="3" t="s">
        <v>21</v>
      </c>
      <c r="N696" s="3">
        <v>3237</v>
      </c>
      <c r="O696" s="6">
        <f>Table1[[#This Row],[Current coupon %]]*Table1[[#This Row],[Face value]]/Table1[[#This Row],[Ask Price]]</f>
        <v>6.9944016957249736E-2</v>
      </c>
      <c r="P696" s="3" t="s">
        <v>297</v>
      </c>
      <c r="Q696" s="3" t="s">
        <v>22</v>
      </c>
      <c r="R696">
        <f t="shared" si="10"/>
        <v>15</v>
      </c>
      <c r="S696" s="22" cm="1">
        <f t="array" ref="S696">_xlfn.IFS(Table1[[#This Row],[Coupon frequency]]="Semi-annual",2,Table1[[#This Row],[Coupon frequency]]="Quarterly",4,Table1[[#This Row],[Coupon frequency]]="Annual",1,Table1[[#This Row],[Coupon frequency]]="Every 4 months",3,Table1[[#This Row],[Coupon frequency]]="Monthly",12)</f>
        <v>1</v>
      </c>
      <c r="T696">
        <f>Table1[[#This Row],[Term to Maturity (Years)]]*Table1[[#This Row],[Coupon Frequency2]]</f>
        <v>15</v>
      </c>
      <c r="U696">
        <f>Table1[[#This Row],[Face value]]*Table1[[#This Row],[Current coupon %]]/Table1[[#This Row],[Coupon Frequency2]]</f>
        <v>75400</v>
      </c>
      <c r="V696" s="23">
        <f>RATE(Table1[[#This Row],[Total No. of Coupons]],Table1[[#This Row],[Coupon Amount]],-Table1[[#This Row],[Ask Price]],Table1[[#This Row],[Face value]])</f>
        <v>6.6997190010652699E-2</v>
      </c>
      <c r="W696" s="24">
        <f>Table1[[#This Row],[IRR]]*Table1[[#This Row],[Coupon Frequency2]]</f>
        <v>6.6997190010652699E-2</v>
      </c>
      <c r="X696" s="25" cm="1">
        <f t="array" ref="X69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6" s="26">
        <f>DURATION(Table1[[#This Row],[Issue date]],Table1[[#This Row],[Maturity date]],Table1[[#This Row],[Current coupon %]],Table1[[#This Row],[Yield (Annualised)]],Table1[[#This Row],[Coupon Frequency2]])</f>
        <v>9.6810591915364821</v>
      </c>
      <c r="Z696" s="26">
        <f>Table1[[#This Row],[Macaulay Duration in Years]]/(1+Table1[[#This Row],[IRR]])</f>
        <v>9.0731815249108845</v>
      </c>
      <c r="AA696" s="27">
        <f>VLOOKUP(Table1[[#This Row],[Yield Cluster]],'[1]Cluster Details'!$B$3:$C$16,2,0)</f>
        <v>7.8548801574189142E-2</v>
      </c>
      <c r="AB696" s="28">
        <f>PRICE(Table1[[#This Row],[Issue date]],Table1[[#This Row],[Maturity date]],Table1[[#This Row],[Current coupon %]],Table1[[#This Row],[Average Cluster Yield]],100,Table1[[#This Row],[Coupon Frequency2]])*Table1[[#This Row],[Face value]]/100</f>
        <v>972807.42443884059</v>
      </c>
      <c r="AC696" s="27" t="str">
        <f>IF(Table1[[#This Row],[Ask Price]]&gt;Table1[[#This Row],[Calculated Bond Price]],"Rich","Cheap")</f>
        <v>Rich</v>
      </c>
      <c r="AD696" s="28">
        <f>PRICE(Table1[[#This Row],[Issue date]],Table1[[#This Row],[Maturity date]],Table1[[#This Row],[Current coupon %]],Table1[[#This Row],[Yield (Annualised)]]+$AE$2,100,Table1[[#This Row],[Coupon Frequency2]])*Table1[[#This Row],[Face value]]/100</f>
        <v>986074.61229055235</v>
      </c>
      <c r="AE696" s="28">
        <f>PRICE(Table1[[#This Row],[Issue date]],Table1[[#This Row],[Maturity date]],Table1[[#This Row],[Current coupon %]],Table1[[#This Row],[Yield (Annualised)]]-$AE$2,100,Table1[[#This Row],[Coupon Frequency2]])*Table1[[#This Row],[Face value]]/100</f>
        <v>1182292.3405378025</v>
      </c>
      <c r="AF696" s="28">
        <f>(Table1[[#This Row],[P (+ shock)]]+Table1[[#This Row],[P (-shock)]]-2*Table1[[#This Row],[Ask Price]])/(2*Table1[[#This Row],[Ask Price]]*($AE$2^2))</f>
        <v>57.313986615809455</v>
      </c>
    </row>
    <row r="697" spans="1:32" x14ac:dyDescent="0.25">
      <c r="A697" s="21" t="s">
        <v>1436</v>
      </c>
      <c r="B697" s="3" t="s">
        <v>1437</v>
      </c>
      <c r="C697" s="3" t="s">
        <v>19</v>
      </c>
      <c r="D697" s="4">
        <v>41725</v>
      </c>
      <c r="E697" s="4">
        <v>49030</v>
      </c>
      <c r="F697" s="3">
        <v>1000</v>
      </c>
      <c r="G697" s="3" t="s">
        <v>20</v>
      </c>
      <c r="H697" s="3">
        <v>1223.0999999999999</v>
      </c>
      <c r="I697" s="3" t="s">
        <v>20</v>
      </c>
      <c r="J697" s="3">
        <v>122.30999999999899</v>
      </c>
      <c r="K697" s="3">
        <v>25</v>
      </c>
      <c r="L697" s="5">
        <v>8.5500000000000007E-2</v>
      </c>
      <c r="M697" s="3" t="s">
        <v>21</v>
      </c>
      <c r="N697" s="3">
        <v>3113</v>
      </c>
      <c r="O697" s="6">
        <f>Table1[[#This Row],[Current coupon %]]*Table1[[#This Row],[Face value]]/Table1[[#This Row],[Ask Price]]</f>
        <v>6.9904341427520236E-2</v>
      </c>
      <c r="P697" s="3" t="s">
        <v>54</v>
      </c>
      <c r="Q697" s="3" t="s">
        <v>22</v>
      </c>
      <c r="R697">
        <f t="shared" si="10"/>
        <v>20</v>
      </c>
      <c r="S697" s="22" cm="1">
        <f t="array" ref="S697">_xlfn.IFS(Table1[[#This Row],[Coupon frequency]]="Semi-annual",2,Table1[[#This Row],[Coupon frequency]]="Quarterly",4,Table1[[#This Row],[Coupon frequency]]="Annual",1,Table1[[#This Row],[Coupon frequency]]="Every 4 months",3,Table1[[#This Row],[Coupon frequency]]="Monthly",12)</f>
        <v>1</v>
      </c>
      <c r="T697">
        <f>Table1[[#This Row],[Term to Maturity (Years)]]*Table1[[#This Row],[Coupon Frequency2]]</f>
        <v>20</v>
      </c>
      <c r="U697">
        <f>Table1[[#This Row],[Face value]]*Table1[[#This Row],[Current coupon %]]/Table1[[#This Row],[Coupon Frequency2]]</f>
        <v>85.5</v>
      </c>
      <c r="V697" s="23">
        <f>RATE(Table1[[#This Row],[Total No. of Coupons]],Table1[[#This Row],[Coupon Amount]],-Table1[[#This Row],[Ask Price]],Table1[[#This Row],[Face value]])</f>
        <v>6.5217287536875113E-2</v>
      </c>
      <c r="W697" s="24">
        <f>Table1[[#This Row],[IRR]]*Table1[[#This Row],[Coupon Frequency2]]</f>
        <v>6.5217287536875113E-2</v>
      </c>
      <c r="X697" s="25" cm="1">
        <f t="array" ref="X69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7" s="26">
        <f>DURATION(Table1[[#This Row],[Issue date]],Table1[[#This Row],[Maturity date]],Table1[[#This Row],[Current coupon %]],Table1[[#This Row],[Yield (Annualised)]],Table1[[#This Row],[Coupon Frequency2]])</f>
        <v>11.121579531119673</v>
      </c>
      <c r="Z697" s="26">
        <f>Table1[[#This Row],[Macaulay Duration in Years]]/(1+Table1[[#This Row],[IRR]])</f>
        <v>10.440667515673109</v>
      </c>
      <c r="AA697" s="27">
        <f>VLOOKUP(Table1[[#This Row],[Yield Cluster]],'[1]Cluster Details'!$B$3:$C$16,2,0)</f>
        <v>7.8548801574189142E-2</v>
      </c>
      <c r="AB697" s="28">
        <f>PRICE(Table1[[#This Row],[Issue date]],Table1[[#This Row],[Maturity date]],Table1[[#This Row],[Current coupon %]],Table1[[#This Row],[Average Cluster Yield]],100,Table1[[#This Row],[Coupon Frequency2]])*Table1[[#This Row],[Face value]]/100</f>
        <v>1068.9912640506807</v>
      </c>
      <c r="AC697" s="27" t="str">
        <f>IF(Table1[[#This Row],[Ask Price]]&gt;Table1[[#This Row],[Calculated Bond Price]],"Rich","Cheap")</f>
        <v>Rich</v>
      </c>
      <c r="AD697" s="28">
        <f>PRICE(Table1[[#This Row],[Issue date]],Table1[[#This Row],[Maturity date]],Table1[[#This Row],[Current coupon %]],Table1[[#This Row],[Yield (Annualised)]]+$AE$2,100,Table1[[#This Row],[Coupon Frequency2]])*Table1[[#This Row],[Face value]]/100</f>
        <v>1104.6540235062801</v>
      </c>
      <c r="AE697" s="28">
        <f>PRICE(Table1[[#This Row],[Issue date]],Table1[[#This Row],[Maturity date]],Table1[[#This Row],[Current coupon %]],Table1[[#This Row],[Yield (Annualised)]]-$AE$2,100,Table1[[#This Row],[Coupon Frequency2]])*Table1[[#This Row],[Face value]]/100</f>
        <v>1361.2384913422654</v>
      </c>
      <c r="AF697" s="28">
        <f>(Table1[[#This Row],[P (+ shock)]]+Table1[[#This Row],[P (-shock)]]-2*Table1[[#This Row],[Ask Price]])/(2*Table1[[#This Row],[Ask Price]]*($AE$2^2))</f>
        <v>80.502472604634406</v>
      </c>
    </row>
    <row r="698" spans="1:32" x14ac:dyDescent="0.25">
      <c r="A698" s="21" t="s">
        <v>1438</v>
      </c>
      <c r="B698" s="3" t="s">
        <v>1439</v>
      </c>
      <c r="C698" s="3" t="s">
        <v>19</v>
      </c>
      <c r="D698" s="4">
        <v>44531</v>
      </c>
      <c r="E698" s="4">
        <v>48183</v>
      </c>
      <c r="F698" s="3">
        <v>1000000</v>
      </c>
      <c r="G698" s="3" t="s">
        <v>20</v>
      </c>
      <c r="H698" s="3">
        <v>1008642</v>
      </c>
      <c r="I698" s="3" t="s">
        <v>20</v>
      </c>
      <c r="J698" s="3">
        <v>100.8642</v>
      </c>
      <c r="K698" s="3">
        <v>1</v>
      </c>
      <c r="L698" s="5">
        <v>7.0499999999999993E-2</v>
      </c>
      <c r="M698" s="3" t="s">
        <v>21</v>
      </c>
      <c r="N698" s="3">
        <v>2266</v>
      </c>
      <c r="O698" s="6">
        <f>Table1[[#This Row],[Current coupon %]]*Table1[[#This Row],[Face value]]/Table1[[#This Row],[Ask Price]]</f>
        <v>6.9895959121273957E-2</v>
      </c>
      <c r="P698" s="3" t="s">
        <v>297</v>
      </c>
      <c r="Q698" s="3" t="s">
        <v>22</v>
      </c>
      <c r="R698">
        <f t="shared" si="10"/>
        <v>10</v>
      </c>
      <c r="S698" s="22" cm="1">
        <f t="array" ref="S698">_xlfn.IFS(Table1[[#This Row],[Coupon frequency]]="Semi-annual",2,Table1[[#This Row],[Coupon frequency]]="Quarterly",4,Table1[[#This Row],[Coupon frequency]]="Annual",1,Table1[[#This Row],[Coupon frequency]]="Every 4 months",3,Table1[[#This Row],[Coupon frequency]]="Monthly",12)</f>
        <v>1</v>
      </c>
      <c r="T698">
        <f>Table1[[#This Row],[Term to Maturity (Years)]]*Table1[[#This Row],[Coupon Frequency2]]</f>
        <v>10</v>
      </c>
      <c r="U698">
        <f>Table1[[#This Row],[Face value]]*Table1[[#This Row],[Current coupon %]]/Table1[[#This Row],[Coupon Frequency2]]</f>
        <v>70500</v>
      </c>
      <c r="V698" s="23">
        <f>RATE(Table1[[#This Row],[Total No. of Coupons]],Table1[[#This Row],[Coupon Amount]],-Table1[[#This Row],[Ask Price]],Table1[[#This Row],[Face value]])</f>
        <v>6.9273701298922893E-2</v>
      </c>
      <c r="W698" s="24">
        <f>Table1[[#This Row],[IRR]]*Table1[[#This Row],[Coupon Frequency2]]</f>
        <v>6.9273701298922893E-2</v>
      </c>
      <c r="X698" s="25" cm="1">
        <f t="array" ref="X69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8" s="26">
        <f>DURATION(Table1[[#This Row],[Issue date]],Table1[[#This Row],[Maturity date]],Table1[[#This Row],[Current coupon %]],Table1[[#This Row],[Yield (Annualised)]],Table1[[#This Row],[Coupon Frequency2]])</f>
        <v>7.5132714397769096</v>
      </c>
      <c r="Z698" s="26">
        <f>Table1[[#This Row],[Macaulay Duration in Years]]/(1+Table1[[#This Row],[IRR]])</f>
        <v>7.0265184962933294</v>
      </c>
      <c r="AA698" s="27">
        <f>VLOOKUP(Table1[[#This Row],[Yield Cluster]],'[1]Cluster Details'!$B$3:$C$16,2,0)</f>
        <v>7.8548801574189142E-2</v>
      </c>
      <c r="AB698" s="28">
        <f>PRICE(Table1[[#This Row],[Issue date]],Table1[[#This Row],[Maturity date]],Table1[[#This Row],[Current coupon %]],Table1[[#This Row],[Average Cluster Yield]],100,Table1[[#This Row],[Coupon Frequency2]])*Table1[[#This Row],[Face value]]/100</f>
        <v>945636.57849364891</v>
      </c>
      <c r="AC698" s="27" t="str">
        <f>IF(Table1[[#This Row],[Ask Price]]&gt;Table1[[#This Row],[Calculated Bond Price]],"Rich","Cheap")</f>
        <v>Rich</v>
      </c>
      <c r="AD698" s="28">
        <f>PRICE(Table1[[#This Row],[Issue date]],Table1[[#This Row],[Maturity date]],Table1[[#This Row],[Current coupon %]],Table1[[#This Row],[Yield (Annualised)]]+$AE$2,100,Table1[[#This Row],[Coupon Frequency2]])*Table1[[#This Row],[Face value]]/100</f>
        <v>940934.39900362934</v>
      </c>
      <c r="AE698" s="28">
        <f>PRICE(Table1[[#This Row],[Issue date]],Table1[[#This Row],[Maturity date]],Table1[[#This Row],[Current coupon %]],Table1[[#This Row],[Yield (Annualised)]]-$AE$2,100,Table1[[#This Row],[Coupon Frequency2]])*Table1[[#This Row],[Face value]]/100</f>
        <v>1082911.60045193</v>
      </c>
      <c r="AF698" s="28">
        <f>(Table1[[#This Row],[P (+ shock)]]+Table1[[#This Row],[P (-shock)]]-2*Table1[[#This Row],[Ask Price]])/(2*Table1[[#This Row],[Ask Price]]*($AE$2^2))</f>
        <v>32.528882673730124</v>
      </c>
    </row>
    <row r="699" spans="1:32" x14ac:dyDescent="0.25">
      <c r="A699" s="21" t="s">
        <v>1440</v>
      </c>
      <c r="B699" s="3" t="s">
        <v>1441</v>
      </c>
      <c r="C699" s="3" t="s">
        <v>19</v>
      </c>
      <c r="D699" s="4">
        <v>41580</v>
      </c>
      <c r="E699" s="4">
        <v>48885</v>
      </c>
      <c r="F699" s="3">
        <v>1000</v>
      </c>
      <c r="G699" s="3" t="s">
        <v>20</v>
      </c>
      <c r="H699" s="3">
        <v>1242.0999999999999</v>
      </c>
      <c r="I699" s="3" t="s">
        <v>20</v>
      </c>
      <c r="J699" s="3">
        <v>124.21</v>
      </c>
      <c r="K699" s="3">
        <v>5</v>
      </c>
      <c r="L699" s="5">
        <v>8.6699999999999999E-2</v>
      </c>
      <c r="M699" s="3" t="s">
        <v>21</v>
      </c>
      <c r="N699" s="3">
        <v>2968</v>
      </c>
      <c r="O699" s="6">
        <f>Table1[[#This Row],[Current coupon %]]*Table1[[#This Row],[Face value]]/Table1[[#This Row],[Ask Price]]</f>
        <v>6.980114322518316E-2</v>
      </c>
      <c r="P699" s="3" t="s">
        <v>54</v>
      </c>
      <c r="Q699" s="3" t="s">
        <v>22</v>
      </c>
      <c r="R699">
        <f t="shared" si="10"/>
        <v>20</v>
      </c>
      <c r="S699" s="22" cm="1">
        <f t="array" ref="S699">_xlfn.IFS(Table1[[#This Row],[Coupon frequency]]="Semi-annual",2,Table1[[#This Row],[Coupon frequency]]="Quarterly",4,Table1[[#This Row],[Coupon frequency]]="Annual",1,Table1[[#This Row],[Coupon frequency]]="Every 4 months",3,Table1[[#This Row],[Coupon frequency]]="Monthly",12)</f>
        <v>1</v>
      </c>
      <c r="T699">
        <f>Table1[[#This Row],[Term to Maturity (Years)]]*Table1[[#This Row],[Coupon Frequency2]]</f>
        <v>20</v>
      </c>
      <c r="U699">
        <f>Table1[[#This Row],[Face value]]*Table1[[#This Row],[Current coupon %]]/Table1[[#This Row],[Coupon Frequency2]]</f>
        <v>86.7</v>
      </c>
      <c r="V699" s="23">
        <f>RATE(Table1[[#This Row],[Total No. of Coupons]],Table1[[#This Row],[Coupon Amount]],-Table1[[#This Row],[Ask Price]],Table1[[#This Row],[Face value]])</f>
        <v>6.4768298740477057E-2</v>
      </c>
      <c r="W699" s="24">
        <f>Table1[[#This Row],[IRR]]*Table1[[#This Row],[Coupon Frequency2]]</f>
        <v>6.4768298740477057E-2</v>
      </c>
      <c r="X699" s="25" cm="1">
        <f t="array" ref="X69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699" s="26">
        <f>DURATION(Table1[[#This Row],[Issue date]],Table1[[#This Row],[Maturity date]],Table1[[#This Row],[Current coupon %]],Table1[[#This Row],[Yield (Annualised)]],Table1[[#This Row],[Coupon Frequency2]])</f>
        <v>11.11300510388531</v>
      </c>
      <c r="Z699" s="26">
        <f>Table1[[#This Row],[Macaulay Duration in Years]]/(1+Table1[[#This Row],[IRR]])</f>
        <v>10.437017252514913</v>
      </c>
      <c r="AA699" s="27">
        <f>VLOOKUP(Table1[[#This Row],[Yield Cluster]],'[1]Cluster Details'!$B$3:$C$16,2,0)</f>
        <v>7.8548801574189142E-2</v>
      </c>
      <c r="AB699" s="28">
        <f>PRICE(Table1[[#This Row],[Issue date]],Table1[[#This Row],[Maturity date]],Table1[[#This Row],[Current coupon %]],Table1[[#This Row],[Average Cluster Yield]],100,Table1[[#This Row],[Coupon Frequency2]])*Table1[[#This Row],[Face value]]/100</f>
        <v>1080.9013710263935</v>
      </c>
      <c r="AC699" s="27" t="str">
        <f>IF(Table1[[#This Row],[Ask Price]]&gt;Table1[[#This Row],[Calculated Bond Price]],"Rich","Cheap")</f>
        <v>Rich</v>
      </c>
      <c r="AD699" s="28">
        <f>PRICE(Table1[[#This Row],[Issue date]],Table1[[#This Row],[Maturity date]],Table1[[#This Row],[Current coupon %]],Table1[[#This Row],[Yield (Annualised)]]+$AE$2,100,Table1[[#This Row],[Coupon Frequency2]])*Table1[[#This Row],[Face value]]/100</f>
        <v>1121.8522597980036</v>
      </c>
      <c r="AE699" s="28">
        <f>PRICE(Table1[[#This Row],[Issue date]],Table1[[#This Row],[Maturity date]],Table1[[#This Row],[Current coupon %]],Table1[[#This Row],[Yield (Annualised)]]-$AE$2,100,Table1[[#This Row],[Coupon Frequency2]])*Table1[[#This Row],[Face value]]/100</f>
        <v>1382.3306789312257</v>
      </c>
      <c r="AF699" s="28">
        <f>(Table1[[#This Row],[P (+ shock)]]+Table1[[#This Row],[P (-shock)]]-2*Table1[[#This Row],[Ask Price]])/(2*Table1[[#This Row],[Ask Price]]*($AE$2^2))</f>
        <v>80.440136580103527</v>
      </c>
    </row>
    <row r="700" spans="1:32" x14ac:dyDescent="0.25">
      <c r="A700" s="21" t="s">
        <v>1442</v>
      </c>
      <c r="B700" s="3" t="s">
        <v>1443</v>
      </c>
      <c r="C700" s="3" t="s">
        <v>19</v>
      </c>
      <c r="D700" s="4">
        <v>41599</v>
      </c>
      <c r="E700" s="4">
        <v>47078</v>
      </c>
      <c r="F700" s="3">
        <v>1000000</v>
      </c>
      <c r="G700" s="3" t="s">
        <v>20</v>
      </c>
      <c r="H700" s="3">
        <v>1215100</v>
      </c>
      <c r="I700" s="3" t="s">
        <v>20</v>
      </c>
      <c r="J700" s="3">
        <v>121.51</v>
      </c>
      <c r="K700" s="3">
        <v>20</v>
      </c>
      <c r="L700" s="5">
        <v>8.48E-2</v>
      </c>
      <c r="M700" s="3" t="s">
        <v>21</v>
      </c>
      <c r="N700" s="3">
        <v>1161</v>
      </c>
      <c r="O700" s="6">
        <f>Table1[[#This Row],[Current coupon %]]*Table1[[#This Row],[Face value]]/Table1[[#This Row],[Ask Price]]</f>
        <v>6.9788494774092671E-2</v>
      </c>
      <c r="P700" s="3" t="s">
        <v>297</v>
      </c>
      <c r="Q700" s="3" t="s">
        <v>22</v>
      </c>
      <c r="R700">
        <f t="shared" si="10"/>
        <v>15</v>
      </c>
      <c r="S700" s="22" cm="1">
        <f t="array" ref="S700">_xlfn.IFS(Table1[[#This Row],[Coupon frequency]]="Semi-annual",2,Table1[[#This Row],[Coupon frequency]]="Quarterly",4,Table1[[#This Row],[Coupon frequency]]="Annual",1,Table1[[#This Row],[Coupon frequency]]="Every 4 months",3,Table1[[#This Row],[Coupon frequency]]="Monthly",12)</f>
        <v>1</v>
      </c>
      <c r="T700">
        <f>Table1[[#This Row],[Term to Maturity (Years)]]*Table1[[#This Row],[Coupon Frequency2]]</f>
        <v>15</v>
      </c>
      <c r="U700">
        <f>Table1[[#This Row],[Face value]]*Table1[[#This Row],[Current coupon %]]/Table1[[#This Row],[Coupon Frequency2]]</f>
        <v>84800</v>
      </c>
      <c r="V700" s="23">
        <f>RATE(Table1[[#This Row],[Total No. of Coupons]],Table1[[#This Row],[Coupon Amount]],-Table1[[#This Row],[Ask Price]],Table1[[#This Row],[Face value]])</f>
        <v>6.2316303120312076E-2</v>
      </c>
      <c r="W700" s="24">
        <f>Table1[[#This Row],[IRR]]*Table1[[#This Row],[Coupon Frequency2]]</f>
        <v>6.2316303120312076E-2</v>
      </c>
      <c r="X700" s="25" cm="1">
        <f t="array" ref="X70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0" s="26">
        <f>DURATION(Table1[[#This Row],[Issue date]],Table1[[#This Row],[Maturity date]],Table1[[#This Row],[Current coupon %]],Table1[[#This Row],[Yield (Annualised)]],Table1[[#This Row],[Coupon Frequency2]])</f>
        <v>9.5831282676377647</v>
      </c>
      <c r="Z700" s="26">
        <f>Table1[[#This Row],[Macaulay Duration in Years]]/(1+Table1[[#This Row],[IRR]])</f>
        <v>9.0209744870614426</v>
      </c>
      <c r="AA700" s="27">
        <f>VLOOKUP(Table1[[#This Row],[Yield Cluster]],'[1]Cluster Details'!$B$3:$C$16,2,0)</f>
        <v>7.8548801574189142E-2</v>
      </c>
      <c r="AB700" s="28">
        <f>PRICE(Table1[[#This Row],[Issue date]],Table1[[#This Row],[Maturity date]],Table1[[#This Row],[Current coupon %]],Table1[[#This Row],[Average Cluster Yield]],100,Table1[[#This Row],[Coupon Frequency2]])*Table1[[#This Row],[Face value]]/100</f>
        <v>1053984.4069359768</v>
      </c>
      <c r="AC700" s="27" t="str">
        <f>IF(Table1[[#This Row],[Ask Price]]&gt;Table1[[#This Row],[Calculated Bond Price]],"Rich","Cheap")</f>
        <v>Rich</v>
      </c>
      <c r="AD700" s="28">
        <f>PRICE(Table1[[#This Row],[Issue date]],Table1[[#This Row],[Maturity date]],Table1[[#This Row],[Current coupon %]],Table1[[#This Row],[Yield (Annualised)]]+$AE$2,100,Table1[[#This Row],[Coupon Frequency2]])*Table1[[#This Row],[Face value]]/100</f>
        <v>1112055.5067160807</v>
      </c>
      <c r="AE700" s="28">
        <f>PRICE(Table1[[#This Row],[Issue date]],Table1[[#This Row],[Maturity date]],Table1[[#This Row],[Current coupon %]],Table1[[#This Row],[Yield (Annualised)]]-$AE$2,100,Table1[[#This Row],[Coupon Frequency2]])*Table1[[#This Row],[Face value]]/100</f>
        <v>1331952.173143643</v>
      </c>
      <c r="AF700" s="28">
        <f>(Table1[[#This Row],[P (+ shock)]]+Table1[[#This Row],[P (-shock)]]-2*Table1[[#This Row],[Ask Price]])/(2*Table1[[#This Row],[Ask Price]]*($AE$2^2))</f>
        <v>56.817051517257404</v>
      </c>
    </row>
    <row r="701" spans="1:32" x14ac:dyDescent="0.25">
      <c r="A701" s="21" t="s">
        <v>1444</v>
      </c>
      <c r="B701" s="3" t="s">
        <v>1445</v>
      </c>
      <c r="C701" s="3" t="s">
        <v>19</v>
      </c>
      <c r="D701" s="4">
        <v>44868</v>
      </c>
      <c r="E701" s="4">
        <v>46694</v>
      </c>
      <c r="F701" s="3">
        <v>1000</v>
      </c>
      <c r="G701" s="3" t="s">
        <v>20</v>
      </c>
      <c r="H701" s="3">
        <v>1075</v>
      </c>
      <c r="I701" s="3" t="s">
        <v>20</v>
      </c>
      <c r="J701" s="3">
        <v>107.5</v>
      </c>
      <c r="K701" s="3">
        <v>294</v>
      </c>
      <c r="L701" s="5">
        <v>7.4999999999999997E-2</v>
      </c>
      <c r="M701" s="3" t="s">
        <v>21</v>
      </c>
      <c r="N701" s="3">
        <v>777</v>
      </c>
      <c r="O701" s="6">
        <f>Table1[[#This Row],[Current coupon %]]*Table1[[#This Row],[Face value]]/Table1[[#This Row],[Ask Price]]</f>
        <v>6.9767441860465115E-2</v>
      </c>
      <c r="P701" s="3" t="s">
        <v>97</v>
      </c>
      <c r="Q701" s="3" t="s">
        <v>22</v>
      </c>
      <c r="R701">
        <f t="shared" si="10"/>
        <v>5</v>
      </c>
      <c r="S701" s="22" cm="1">
        <f t="array" ref="S701">_xlfn.IFS(Table1[[#This Row],[Coupon frequency]]="Semi-annual",2,Table1[[#This Row],[Coupon frequency]]="Quarterly",4,Table1[[#This Row],[Coupon frequency]]="Annual",1,Table1[[#This Row],[Coupon frequency]]="Every 4 months",3,Table1[[#This Row],[Coupon frequency]]="Monthly",12)</f>
        <v>1</v>
      </c>
      <c r="T701">
        <f>Table1[[#This Row],[Term to Maturity (Years)]]*Table1[[#This Row],[Coupon Frequency2]]</f>
        <v>5</v>
      </c>
      <c r="U701">
        <f>Table1[[#This Row],[Face value]]*Table1[[#This Row],[Current coupon %]]/Table1[[#This Row],[Coupon Frequency2]]</f>
        <v>75</v>
      </c>
      <c r="V701" s="23">
        <f>RATE(Table1[[#This Row],[Total No. of Coupons]],Table1[[#This Row],[Coupon Amount]],-Table1[[#This Row],[Ask Price]],Table1[[#This Row],[Face value]])</f>
        <v>5.7324657824565833E-2</v>
      </c>
      <c r="W701" s="24">
        <f>Table1[[#This Row],[IRR]]*Table1[[#This Row],[Coupon Frequency2]]</f>
        <v>5.7324657824565833E-2</v>
      </c>
      <c r="X701" s="25" cm="1">
        <f t="array" ref="X70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1" s="26">
        <f>DURATION(Table1[[#This Row],[Issue date]],Table1[[#This Row],[Maturity date]],Table1[[#This Row],[Current coupon %]],Table1[[#This Row],[Yield (Annualised)]],Table1[[#This Row],[Coupon Frequency2]])</f>
        <v>4.3749667355109692</v>
      </c>
      <c r="Z701" s="26">
        <f>Table1[[#This Row],[Macaulay Duration in Years]]/(1+Table1[[#This Row],[IRR]])</f>
        <v>4.1377704597492473</v>
      </c>
      <c r="AA701" s="27">
        <f>VLOOKUP(Table1[[#This Row],[Yield Cluster]],'[1]Cluster Details'!$B$3:$C$16,2,0)</f>
        <v>7.8548801574189142E-2</v>
      </c>
      <c r="AB701" s="28">
        <f>PRICE(Table1[[#This Row],[Issue date]],Table1[[#This Row],[Maturity date]],Table1[[#This Row],[Current coupon %]],Table1[[#This Row],[Average Cluster Yield]],100,Table1[[#This Row],[Coupon Frequency2]])*Table1[[#This Row],[Face value]]/100</f>
        <v>985.77630343481087</v>
      </c>
      <c r="AC701" s="27" t="str">
        <f>IF(Table1[[#This Row],[Ask Price]]&gt;Table1[[#This Row],[Calculated Bond Price]],"Rich","Cheap")</f>
        <v>Rich</v>
      </c>
      <c r="AD701" s="28">
        <f>PRICE(Table1[[#This Row],[Issue date]],Table1[[#This Row],[Maturity date]],Table1[[#This Row],[Current coupon %]],Table1[[#This Row],[Yield (Annualised)]]+$AE$2,100,Table1[[#This Row],[Coupon Frequency2]])*Table1[[#This Row],[Face value]]/100</f>
        <v>1031.6971412900195</v>
      </c>
      <c r="AE701" s="28">
        <f>PRICE(Table1[[#This Row],[Issue date]],Table1[[#This Row],[Maturity date]],Table1[[#This Row],[Current coupon %]],Table1[[#This Row],[Yield (Annualised)]]-$AE$2,100,Table1[[#This Row],[Coupon Frequency2]])*Table1[[#This Row],[Face value]]/100</f>
        <v>1120.711077912752</v>
      </c>
      <c r="AF701" s="28">
        <f>(Table1[[#This Row],[P (+ shock)]]+Table1[[#This Row],[P (-shock)]]-2*Table1[[#This Row],[Ask Price]])/(2*Table1[[#This Row],[Ask Price]]*($AE$2^2))</f>
        <v>11.201019547775633</v>
      </c>
    </row>
    <row r="702" spans="1:32" x14ac:dyDescent="0.25">
      <c r="A702" s="21" t="s">
        <v>1446</v>
      </c>
      <c r="B702" s="3" t="s">
        <v>1447</v>
      </c>
      <c r="C702" s="3" t="s">
        <v>19</v>
      </c>
      <c r="D702" s="4">
        <v>42425</v>
      </c>
      <c r="E702" s="4">
        <v>46078</v>
      </c>
      <c r="F702" s="3">
        <v>1000000</v>
      </c>
      <c r="G702" s="3" t="s">
        <v>20</v>
      </c>
      <c r="H702" s="3">
        <v>1013500</v>
      </c>
      <c r="I702" s="3" t="s">
        <v>20</v>
      </c>
      <c r="J702" s="3">
        <v>101.35</v>
      </c>
      <c r="K702" s="3">
        <v>10</v>
      </c>
      <c r="L702" s="5">
        <v>7.0699999999999999E-2</v>
      </c>
      <c r="M702" s="3" t="s">
        <v>21</v>
      </c>
      <c r="N702" s="3">
        <v>161</v>
      </c>
      <c r="O702" s="6">
        <f>Table1[[#This Row],[Current coupon %]]*Table1[[#This Row],[Face value]]/Table1[[#This Row],[Ask Price]]</f>
        <v>6.9758263443512575E-2</v>
      </c>
      <c r="P702" s="3"/>
      <c r="Q702" s="3" t="s">
        <v>22</v>
      </c>
      <c r="R702">
        <f t="shared" si="10"/>
        <v>10</v>
      </c>
      <c r="S702" s="22" cm="1">
        <f t="array" ref="S702">_xlfn.IFS(Table1[[#This Row],[Coupon frequency]]="Semi-annual",2,Table1[[#This Row],[Coupon frequency]]="Quarterly",4,Table1[[#This Row],[Coupon frequency]]="Annual",1,Table1[[#This Row],[Coupon frequency]]="Every 4 months",3,Table1[[#This Row],[Coupon frequency]]="Monthly",12)</f>
        <v>1</v>
      </c>
      <c r="T702">
        <f>Table1[[#This Row],[Term to Maturity (Years)]]*Table1[[#This Row],[Coupon Frequency2]]</f>
        <v>10</v>
      </c>
      <c r="U702">
        <f>Table1[[#This Row],[Face value]]*Table1[[#This Row],[Current coupon %]]/Table1[[#This Row],[Coupon Frequency2]]</f>
        <v>70700</v>
      </c>
      <c r="V702" s="23">
        <f>RATE(Table1[[#This Row],[Total No. of Coupons]],Table1[[#This Row],[Coupon Amount]],-Table1[[#This Row],[Ask Price]],Table1[[#This Row],[Face value]])</f>
        <v>6.8788652271605036E-2</v>
      </c>
      <c r="W702" s="24">
        <f>Table1[[#This Row],[IRR]]*Table1[[#This Row],[Coupon Frequency2]]</f>
        <v>6.8788652271605036E-2</v>
      </c>
      <c r="X702" s="25" cm="1">
        <f t="array" ref="X70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2" s="26">
        <f>DURATION(Table1[[#This Row],[Issue date]],Table1[[#This Row],[Maturity date]],Table1[[#This Row],[Current coupon %]],Table1[[#This Row],[Yield (Annualised)]],Table1[[#This Row],[Coupon Frequency2]])</f>
        <v>7.5143897235411643</v>
      </c>
      <c r="Z702" s="26">
        <f>Table1[[#This Row],[Macaulay Duration in Years]]/(1+Table1[[#This Row],[IRR]])</f>
        <v>7.030753655149752</v>
      </c>
      <c r="AA702" s="27">
        <f>VLOOKUP(Table1[[#This Row],[Yield Cluster]],'[1]Cluster Details'!$B$3:$C$16,2,0)</f>
        <v>7.8548801574189142E-2</v>
      </c>
      <c r="AB702" s="28">
        <f>PRICE(Table1[[#This Row],[Issue date]],Table1[[#This Row],[Maturity date]],Table1[[#This Row],[Current coupon %]],Table1[[#This Row],[Average Cluster Yield]],100,Table1[[#This Row],[Coupon Frequency2]])*Table1[[#This Row],[Face value]]/100</f>
        <v>946987.42361028586</v>
      </c>
      <c r="AC702" s="27" t="str">
        <f>IF(Table1[[#This Row],[Ask Price]]&gt;Table1[[#This Row],[Calculated Bond Price]],"Rich","Cheap")</f>
        <v>Rich</v>
      </c>
      <c r="AD702" s="28">
        <f>PRICE(Table1[[#This Row],[Issue date]],Table1[[#This Row],[Maturity date]],Table1[[#This Row],[Current coupon %]],Table1[[#This Row],[Yield (Annualised)]]+$AE$2,100,Table1[[#This Row],[Coupon Frequency2]])*Table1[[#This Row],[Face value]]/100</f>
        <v>945426.68248514633</v>
      </c>
      <c r="AE702" s="28">
        <f>PRICE(Table1[[#This Row],[Issue date]],Table1[[#This Row],[Maturity date]],Table1[[#This Row],[Current coupon %]],Table1[[#This Row],[Yield (Annualised)]]-$AE$2,100,Table1[[#This Row],[Coupon Frequency2]])*Table1[[#This Row],[Face value]]/100</f>
        <v>1088173.8941984018</v>
      </c>
      <c r="AF702" s="28">
        <f>(Table1[[#This Row],[P (+ shock)]]+Table1[[#This Row],[P (-shock)]]-2*Table1[[#This Row],[Ask Price]])/(2*Table1[[#This Row],[Ask Price]]*($AE$2^2))</f>
        <v>32.56327914922683</v>
      </c>
    </row>
    <row r="703" spans="1:32" x14ac:dyDescent="0.25">
      <c r="A703" s="21" t="s">
        <v>1448</v>
      </c>
      <c r="B703" s="3" t="s">
        <v>1449</v>
      </c>
      <c r="C703" s="3" t="s">
        <v>19</v>
      </c>
      <c r="D703" s="4">
        <v>41359</v>
      </c>
      <c r="E703" s="4">
        <v>46837</v>
      </c>
      <c r="F703" s="3">
        <v>1000</v>
      </c>
      <c r="G703" s="3" t="s">
        <v>20</v>
      </c>
      <c r="H703" s="3">
        <v>1029.01</v>
      </c>
      <c r="I703" s="3" t="s">
        <v>20</v>
      </c>
      <c r="J703" s="3">
        <v>102.901</v>
      </c>
      <c r="K703" s="3">
        <v>271</v>
      </c>
      <c r="L703" s="5">
        <v>7.17E-2</v>
      </c>
      <c r="M703" s="3" t="s">
        <v>21</v>
      </c>
      <c r="N703" s="3">
        <v>920</v>
      </c>
      <c r="O703" s="6">
        <f>Table1[[#This Row],[Current coupon %]]*Table1[[#This Row],[Face value]]/Table1[[#This Row],[Ask Price]]</f>
        <v>6.9678623142632248E-2</v>
      </c>
      <c r="P703" s="3"/>
      <c r="Q703" s="3" t="s">
        <v>22</v>
      </c>
      <c r="R703">
        <f t="shared" si="10"/>
        <v>15</v>
      </c>
      <c r="S703" s="22" cm="1">
        <f t="array" ref="S703">_xlfn.IFS(Table1[[#This Row],[Coupon frequency]]="Semi-annual",2,Table1[[#This Row],[Coupon frequency]]="Quarterly",4,Table1[[#This Row],[Coupon frequency]]="Annual",1,Table1[[#This Row],[Coupon frequency]]="Every 4 months",3,Table1[[#This Row],[Coupon frequency]]="Monthly",12)</f>
        <v>1</v>
      </c>
      <c r="T703">
        <f>Table1[[#This Row],[Term to Maturity (Years)]]*Table1[[#This Row],[Coupon Frequency2]]</f>
        <v>15</v>
      </c>
      <c r="U703">
        <f>Table1[[#This Row],[Face value]]*Table1[[#This Row],[Current coupon %]]/Table1[[#This Row],[Coupon Frequency2]]</f>
        <v>71.7</v>
      </c>
      <c r="V703" s="23">
        <f>RATE(Table1[[#This Row],[Total No. of Coupons]],Table1[[#This Row],[Coupon Amount]],-Table1[[#This Row],[Ask Price]],Table1[[#This Row],[Face value]])</f>
        <v>6.8544085283390635E-2</v>
      </c>
      <c r="W703" s="24">
        <f>Table1[[#This Row],[IRR]]*Table1[[#This Row],[Coupon Frequency2]]</f>
        <v>6.8544085283390635E-2</v>
      </c>
      <c r="X703" s="25" cm="1">
        <f t="array" ref="X70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3" s="26">
        <f>DURATION(Table1[[#This Row],[Issue date]],Table1[[#This Row],[Maturity date]],Table1[[#This Row],[Current coupon %]],Table1[[#This Row],[Yield (Annualised)]],Table1[[#This Row],[Coupon Frequency2]])</f>
        <v>9.7338607748104184</v>
      </c>
      <c r="Z703" s="26">
        <f>Table1[[#This Row],[Macaulay Duration in Years]]/(1+Table1[[#This Row],[IRR]])</f>
        <v>9.1094610965245124</v>
      </c>
      <c r="AA703" s="27">
        <f>VLOOKUP(Table1[[#This Row],[Yield Cluster]],'[1]Cluster Details'!$B$3:$C$16,2,0)</f>
        <v>7.8548801574189142E-2</v>
      </c>
      <c r="AB703" s="28">
        <f>PRICE(Table1[[#This Row],[Issue date]],Table1[[#This Row],[Maturity date]],Table1[[#This Row],[Current coupon %]],Table1[[#This Row],[Average Cluster Yield]],100,Table1[[#This Row],[Coupon Frequency2]])*Table1[[#This Row],[Face value]]/100</f>
        <v>940.85325893950471</v>
      </c>
      <c r="AC703" s="27" t="str">
        <f>IF(Table1[[#This Row],[Ask Price]]&gt;Table1[[#This Row],[Calculated Bond Price]],"Rich","Cheap")</f>
        <v>Rich</v>
      </c>
      <c r="AD703" s="28">
        <f>PRICE(Table1[[#This Row],[Issue date]],Table1[[#This Row],[Maturity date]],Table1[[#This Row],[Current coupon %]],Table1[[#This Row],[Yield (Annualised)]]+$AE$2,100,Table1[[#This Row],[Coupon Frequency2]])*Table1[[#This Row],[Face value]]/100</f>
        <v>940.89227440436161</v>
      </c>
      <c r="AE703" s="28">
        <f>PRICE(Table1[[#This Row],[Issue date]],Table1[[#This Row],[Maturity date]],Table1[[#This Row],[Current coupon %]],Table1[[#This Row],[Yield (Annualised)]]-$AE$2,100,Table1[[#This Row],[Coupon Frequency2]])*Table1[[#This Row],[Face value]]/100</f>
        <v>1128.97711952755</v>
      </c>
      <c r="AF703" s="28">
        <f>(Table1[[#This Row],[P (+ shock)]]+Table1[[#This Row],[P (-shock)]]-2*Table1[[#This Row],[Ask Price]])/(2*Table1[[#This Row],[Ask Price]]*($AE$2^2))</f>
        <v>57.57667044981045</v>
      </c>
    </row>
    <row r="704" spans="1:32" x14ac:dyDescent="0.25">
      <c r="A704" s="21" t="s">
        <v>1450</v>
      </c>
      <c r="B704" s="3" t="s">
        <v>1451</v>
      </c>
      <c r="C704" s="3" t="s">
        <v>19</v>
      </c>
      <c r="D704" s="4">
        <v>44218</v>
      </c>
      <c r="E704" s="4">
        <v>49696</v>
      </c>
      <c r="F704" s="3">
        <v>1000</v>
      </c>
      <c r="G704" s="3" t="s">
        <v>20</v>
      </c>
      <c r="H704" s="3">
        <v>1000</v>
      </c>
      <c r="I704" s="3" t="s">
        <v>20</v>
      </c>
      <c r="J704" s="3">
        <v>100</v>
      </c>
      <c r="K704" s="3">
        <v>25</v>
      </c>
      <c r="L704" s="5">
        <v>6.9500000000000006E-2</v>
      </c>
      <c r="M704" s="3" t="s">
        <v>21</v>
      </c>
      <c r="N704" s="3">
        <v>3779</v>
      </c>
      <c r="O704" s="6">
        <f>Table1[[#This Row],[Current coupon %]]*Table1[[#This Row],[Face value]]/Table1[[#This Row],[Ask Price]]</f>
        <v>6.9500000000000006E-2</v>
      </c>
      <c r="P704" s="3" t="s">
        <v>54</v>
      </c>
      <c r="Q704" s="3" t="s">
        <v>22</v>
      </c>
      <c r="R704">
        <f t="shared" si="10"/>
        <v>15</v>
      </c>
      <c r="S704" s="22" cm="1">
        <f t="array" ref="S704">_xlfn.IFS(Table1[[#This Row],[Coupon frequency]]="Semi-annual",2,Table1[[#This Row],[Coupon frequency]]="Quarterly",4,Table1[[#This Row],[Coupon frequency]]="Annual",1,Table1[[#This Row],[Coupon frequency]]="Every 4 months",3,Table1[[#This Row],[Coupon frequency]]="Monthly",12)</f>
        <v>1</v>
      </c>
      <c r="T704">
        <f>Table1[[#This Row],[Term to Maturity (Years)]]*Table1[[#This Row],[Coupon Frequency2]]</f>
        <v>15</v>
      </c>
      <c r="U704">
        <f>Table1[[#This Row],[Face value]]*Table1[[#This Row],[Current coupon %]]/Table1[[#This Row],[Coupon Frequency2]]</f>
        <v>69.5</v>
      </c>
      <c r="V704" s="23">
        <f>RATE(Table1[[#This Row],[Total No. of Coupons]],Table1[[#This Row],[Coupon Amount]],-Table1[[#This Row],[Ask Price]],Table1[[#This Row],[Face value]])</f>
        <v>6.9500000000001325E-2</v>
      </c>
      <c r="W704" s="24">
        <f>Table1[[#This Row],[IRR]]*Table1[[#This Row],[Coupon Frequency2]]</f>
        <v>6.9500000000001325E-2</v>
      </c>
      <c r="X704" s="25" cm="1">
        <f t="array" ref="X70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4" s="26">
        <f>DURATION(Table1[[#This Row],[Issue date]],Table1[[#This Row],[Maturity date]],Table1[[#This Row],[Current coupon %]],Table1[[#This Row],[Yield (Annualised)]],Table1[[#This Row],[Coupon Frequency2]])</f>
        <v>9.7717514080243593</v>
      </c>
      <c r="Z704" s="26">
        <f>Table1[[#This Row],[Macaulay Duration in Years]]/(1+Table1[[#This Row],[IRR]])</f>
        <v>9.136747459583308</v>
      </c>
      <c r="AA704" s="27">
        <f>VLOOKUP(Table1[[#This Row],[Yield Cluster]],'[1]Cluster Details'!$B$3:$C$16,2,0)</f>
        <v>7.8548801574189142E-2</v>
      </c>
      <c r="AB704" s="28">
        <f>PRICE(Table1[[#This Row],[Issue date]],Table1[[#This Row],[Maturity date]],Table1[[#This Row],[Current coupon %]],Table1[[#This Row],[Average Cluster Yield]],100,Table1[[#This Row],[Coupon Frequency2]])*Table1[[#This Row],[Face value]]/100</f>
        <v>921.85591414808516</v>
      </c>
      <c r="AC704" s="27" t="str">
        <f>IF(Table1[[#This Row],[Ask Price]]&gt;Table1[[#This Row],[Calculated Bond Price]],"Rich","Cheap")</f>
        <v>Rich</v>
      </c>
      <c r="AD704" s="28">
        <f>PRICE(Table1[[#This Row],[Issue date]],Table1[[#This Row],[Maturity date]],Table1[[#This Row],[Current coupon %]],Table1[[#This Row],[Yield (Annualised)]]+$AE$2,100,Table1[[#This Row],[Coupon Frequency2]])*Table1[[#This Row],[Face value]]/100</f>
        <v>914.14327205743712</v>
      </c>
      <c r="AE704" s="28">
        <f>PRICE(Table1[[#This Row],[Issue date]],Table1[[#This Row],[Maturity date]],Table1[[#This Row],[Current coupon %]],Table1[[#This Row],[Yield (Annualised)]]-$AE$2,100,Table1[[#This Row],[Coupon Frequency2]])*Table1[[#This Row],[Face value]]/100</f>
        <v>1097.4405750187284</v>
      </c>
      <c r="AF704" s="28">
        <f>(Table1[[#This Row],[P (+ shock)]]+Table1[[#This Row],[P (-shock)]]-2*Table1[[#This Row],[Ask Price]])/(2*Table1[[#This Row],[Ask Price]]*($AE$2^2))</f>
        <v>57.919235380827558</v>
      </c>
    </row>
    <row r="705" spans="1:32" x14ac:dyDescent="0.25">
      <c r="A705" s="21" t="s">
        <v>1452</v>
      </c>
      <c r="B705" s="3" t="s">
        <v>1453</v>
      </c>
      <c r="C705" s="3" t="s">
        <v>19</v>
      </c>
      <c r="D705" s="4">
        <v>41661</v>
      </c>
      <c r="E705" s="4">
        <v>48966</v>
      </c>
      <c r="F705" s="3">
        <v>1000</v>
      </c>
      <c r="G705" s="3" t="s">
        <v>20</v>
      </c>
      <c r="H705" s="3">
        <v>1285</v>
      </c>
      <c r="I705" s="3" t="s">
        <v>20</v>
      </c>
      <c r="J705" s="3">
        <v>128.5</v>
      </c>
      <c r="K705" s="3">
        <v>26</v>
      </c>
      <c r="L705" s="5">
        <v>8.9099999999999999E-2</v>
      </c>
      <c r="M705" s="3" t="s">
        <v>21</v>
      </c>
      <c r="N705" s="3">
        <v>3049</v>
      </c>
      <c r="O705" s="6">
        <f>Table1[[#This Row],[Current coupon %]]*Table1[[#This Row],[Face value]]/Table1[[#This Row],[Ask Price]]</f>
        <v>6.9338521400778202E-2</v>
      </c>
      <c r="P705" s="3" t="s">
        <v>54</v>
      </c>
      <c r="Q705" s="3" t="s">
        <v>22</v>
      </c>
      <c r="R705">
        <f t="shared" si="10"/>
        <v>20</v>
      </c>
      <c r="S705" s="22" cm="1">
        <f t="array" ref="S705">_xlfn.IFS(Table1[[#This Row],[Coupon frequency]]="Semi-annual",2,Table1[[#This Row],[Coupon frequency]]="Quarterly",4,Table1[[#This Row],[Coupon frequency]]="Annual",1,Table1[[#This Row],[Coupon frequency]]="Every 4 months",3,Table1[[#This Row],[Coupon frequency]]="Monthly",12)</f>
        <v>1</v>
      </c>
      <c r="T705">
        <f>Table1[[#This Row],[Term to Maturity (Years)]]*Table1[[#This Row],[Coupon Frequency2]]</f>
        <v>20</v>
      </c>
      <c r="U705">
        <f>Table1[[#This Row],[Face value]]*Table1[[#This Row],[Current coupon %]]/Table1[[#This Row],[Coupon Frequency2]]</f>
        <v>89.1</v>
      </c>
      <c r="V705" s="23">
        <f>RATE(Table1[[#This Row],[Total No. of Coupons]],Table1[[#This Row],[Coupon Amount]],-Table1[[#This Row],[Ask Price]],Table1[[#This Row],[Face value]])</f>
        <v>6.3534691105944785E-2</v>
      </c>
      <c r="W705" s="24">
        <f>Table1[[#This Row],[IRR]]*Table1[[#This Row],[Coupon Frequency2]]</f>
        <v>6.3534691105944785E-2</v>
      </c>
      <c r="X705" s="25" cm="1">
        <f t="array" ref="X70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5" s="26">
        <f>DURATION(Table1[[#This Row],[Issue date]],Table1[[#This Row],[Maturity date]],Table1[[#This Row],[Current coupon %]],Table1[[#This Row],[Yield (Annualised)]],Table1[[#This Row],[Coupon Frequency2]])</f>
        <v>11.112270829831626</v>
      </c>
      <c r="Z705" s="26">
        <f>Table1[[#This Row],[Macaulay Duration in Years]]/(1+Table1[[#This Row],[IRR]])</f>
        <v>10.448432874602556</v>
      </c>
      <c r="AA705" s="27">
        <f>VLOOKUP(Table1[[#This Row],[Yield Cluster]],'[1]Cluster Details'!$B$3:$C$16,2,0)</f>
        <v>7.8548801574189142E-2</v>
      </c>
      <c r="AB705" s="28">
        <f>PRICE(Table1[[#This Row],[Issue date]],Table1[[#This Row],[Maturity date]],Table1[[#This Row],[Current coupon %]],Table1[[#This Row],[Average Cluster Yield]],100,Table1[[#This Row],[Coupon Frequency2]])*Table1[[#This Row],[Face value]]/100</f>
        <v>1104.7215849778195</v>
      </c>
      <c r="AC705" s="27" t="str">
        <f>IF(Table1[[#This Row],[Ask Price]]&gt;Table1[[#This Row],[Calculated Bond Price]],"Rich","Cheap")</f>
        <v>Rich</v>
      </c>
      <c r="AD705" s="28">
        <f>PRICE(Table1[[#This Row],[Issue date]],Table1[[#This Row],[Maturity date]],Table1[[#This Row],[Current coupon %]],Table1[[#This Row],[Yield (Annualised)]]+$AE$2,100,Table1[[#This Row],[Coupon Frequency2]])*Table1[[#This Row],[Face value]]/100</f>
        <v>1160.4642962881039</v>
      </c>
      <c r="AE705" s="28">
        <f>PRICE(Table1[[#This Row],[Issue date]],Table1[[#This Row],[Maturity date]],Table1[[#This Row],[Current coupon %]],Table1[[#This Row],[Yield (Annualised)]]-$AE$2,100,Table1[[#This Row],[Coupon Frequency2]])*Table1[[#This Row],[Face value]]/100</f>
        <v>1430.2343115370888</v>
      </c>
      <c r="AF705" s="28">
        <f>(Table1[[#This Row],[P (+ shock)]]+Table1[[#This Row],[P (-shock)]]-2*Table1[[#This Row],[Ask Price]])/(2*Table1[[#This Row],[Ask Price]]*($AE$2^2))</f>
        <v>80.539330059116708</v>
      </c>
    </row>
    <row r="706" spans="1:32" x14ac:dyDescent="0.25">
      <c r="A706" s="21" t="s">
        <v>1454</v>
      </c>
      <c r="B706" s="3" t="s">
        <v>1455</v>
      </c>
      <c r="C706" s="3" t="s">
        <v>19</v>
      </c>
      <c r="D706" s="4">
        <v>44189</v>
      </c>
      <c r="E706" s="4">
        <v>47841</v>
      </c>
      <c r="F706" s="3">
        <v>1000000</v>
      </c>
      <c r="G706" s="3" t="s">
        <v>20</v>
      </c>
      <c r="H706" s="3">
        <v>998436</v>
      </c>
      <c r="I706" s="3" t="s">
        <v>20</v>
      </c>
      <c r="J706" s="3">
        <v>99.843599999999995</v>
      </c>
      <c r="K706" s="3">
        <v>1</v>
      </c>
      <c r="L706" s="5">
        <v>6.9199999999999998E-2</v>
      </c>
      <c r="M706" s="3" t="s">
        <v>21</v>
      </c>
      <c r="N706" s="3">
        <v>1924</v>
      </c>
      <c r="O706" s="6">
        <f>Table1[[#This Row],[Current coupon %]]*Table1[[#This Row],[Face value]]/Table1[[#This Row],[Ask Price]]</f>
        <v>6.9308398334995927E-2</v>
      </c>
      <c r="P706" s="3" t="s">
        <v>297</v>
      </c>
      <c r="Q706" s="3" t="s">
        <v>22</v>
      </c>
      <c r="R706">
        <f t="shared" si="10"/>
        <v>10</v>
      </c>
      <c r="S706" s="22" cm="1">
        <f t="array" ref="S706">_xlfn.IFS(Table1[[#This Row],[Coupon frequency]]="Semi-annual",2,Table1[[#This Row],[Coupon frequency]]="Quarterly",4,Table1[[#This Row],[Coupon frequency]]="Annual",1,Table1[[#This Row],[Coupon frequency]]="Every 4 months",3,Table1[[#This Row],[Coupon frequency]]="Monthly",12)</f>
        <v>1</v>
      </c>
      <c r="T706">
        <f>Table1[[#This Row],[Term to Maturity (Years)]]*Table1[[#This Row],[Coupon Frequency2]]</f>
        <v>10</v>
      </c>
      <c r="U706">
        <f>Table1[[#This Row],[Face value]]*Table1[[#This Row],[Current coupon %]]/Table1[[#This Row],[Coupon Frequency2]]</f>
        <v>69200</v>
      </c>
      <c r="V706" s="23">
        <f>RATE(Table1[[#This Row],[Total No. of Coupons]],Table1[[#This Row],[Coupon Amount]],-Table1[[#This Row],[Ask Price]],Table1[[#This Row],[Face value]])</f>
        <v>6.9422083920061578E-2</v>
      </c>
      <c r="W706" s="24">
        <f>Table1[[#This Row],[IRR]]*Table1[[#This Row],[Coupon Frequency2]]</f>
        <v>6.9422083920061578E-2</v>
      </c>
      <c r="X706" s="25" cm="1">
        <f t="array" ref="X70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6" s="26">
        <f>DURATION(Table1[[#This Row],[Issue date]],Table1[[#This Row],[Maturity date]],Table1[[#This Row],[Current coupon %]],Table1[[#This Row],[Yield (Annualised)]],Table1[[#This Row],[Coupon Frequency2]])</f>
        <v>7.5353225673510442</v>
      </c>
      <c r="Z706" s="26">
        <f>Table1[[#This Row],[Macaulay Duration in Years]]/(1+Table1[[#This Row],[IRR]])</f>
        <v>7.0461632321352949</v>
      </c>
      <c r="AA706" s="27">
        <f>VLOOKUP(Table1[[#This Row],[Yield Cluster]],'[1]Cluster Details'!$B$3:$C$16,2,0)</f>
        <v>7.8548801574189142E-2</v>
      </c>
      <c r="AB706" s="28">
        <f>PRICE(Table1[[#This Row],[Issue date]],Table1[[#This Row],[Maturity date]],Table1[[#This Row],[Current coupon %]],Table1[[#This Row],[Average Cluster Yield]],100,Table1[[#This Row],[Coupon Frequency2]])*Table1[[#This Row],[Face value]]/100</f>
        <v>936856.08523551107</v>
      </c>
      <c r="AC706" s="27" t="str">
        <f>IF(Table1[[#This Row],[Ask Price]]&gt;Table1[[#This Row],[Calculated Bond Price]],"Rich","Cheap")</f>
        <v>Rich</v>
      </c>
      <c r="AD706" s="28">
        <f>PRICE(Table1[[#This Row],[Issue date]],Table1[[#This Row],[Maturity date]],Table1[[#This Row],[Current coupon %]],Table1[[#This Row],[Yield (Annualised)]]+$AE$2,100,Table1[[#This Row],[Coupon Frequency2]])*Table1[[#This Row],[Face value]]/100</f>
        <v>931229.83012201695</v>
      </c>
      <c r="AE706" s="28">
        <f>PRICE(Table1[[#This Row],[Issue date]],Table1[[#This Row],[Maturity date]],Table1[[#This Row],[Current coupon %]],Table1[[#This Row],[Yield (Annualised)]]-$AE$2,100,Table1[[#This Row],[Coupon Frequency2]])*Table1[[#This Row],[Face value]]/100</f>
        <v>1072163.7694848673</v>
      </c>
      <c r="AF706" s="28">
        <f>(Table1[[#This Row],[P (+ shock)]]+Table1[[#This Row],[P (-shock)]]-2*Table1[[#This Row],[Ask Price]])/(2*Table1[[#This Row],[Ask Price]]*($AE$2^2))</f>
        <v>32.659076830583921</v>
      </c>
    </row>
    <row r="707" spans="1:32" x14ac:dyDescent="0.25">
      <c r="A707" s="21" t="s">
        <v>1456</v>
      </c>
      <c r="B707" s="3" t="s">
        <v>1457</v>
      </c>
      <c r="C707" s="3" t="s">
        <v>19</v>
      </c>
      <c r="D707" s="4">
        <v>42294</v>
      </c>
      <c r="E707" s="4">
        <v>45947</v>
      </c>
      <c r="F707" s="3">
        <v>1000</v>
      </c>
      <c r="G707" s="3" t="s">
        <v>20</v>
      </c>
      <c r="H707" s="3">
        <v>1062</v>
      </c>
      <c r="I707" s="3" t="s">
        <v>20</v>
      </c>
      <c r="J707" s="3">
        <v>106.2</v>
      </c>
      <c r="K707" s="3">
        <v>67</v>
      </c>
      <c r="L707" s="5">
        <v>7.3599999999999999E-2</v>
      </c>
      <c r="M707" s="3" t="s">
        <v>21</v>
      </c>
      <c r="N707" s="3">
        <v>30</v>
      </c>
      <c r="O707" s="6">
        <f>Table1[[#This Row],[Current coupon %]]*Table1[[#This Row],[Face value]]/Table1[[#This Row],[Ask Price]]</f>
        <v>6.9303201506591333E-2</v>
      </c>
      <c r="P707" s="3" t="s">
        <v>54</v>
      </c>
      <c r="Q707" s="3" t="s">
        <v>22</v>
      </c>
      <c r="R707">
        <f t="shared" si="10"/>
        <v>10</v>
      </c>
      <c r="S707" s="22" cm="1">
        <f t="array" ref="S707">_xlfn.IFS(Table1[[#This Row],[Coupon frequency]]="Semi-annual",2,Table1[[#This Row],[Coupon frequency]]="Quarterly",4,Table1[[#This Row],[Coupon frequency]]="Annual",1,Table1[[#This Row],[Coupon frequency]]="Every 4 months",3,Table1[[#This Row],[Coupon frequency]]="Monthly",12)</f>
        <v>1</v>
      </c>
      <c r="T707">
        <f>Table1[[#This Row],[Term to Maturity (Years)]]*Table1[[#This Row],[Coupon Frequency2]]</f>
        <v>10</v>
      </c>
      <c r="U707">
        <f>Table1[[#This Row],[Face value]]*Table1[[#This Row],[Current coupon %]]/Table1[[#This Row],[Coupon Frequency2]]</f>
        <v>73.599999999999994</v>
      </c>
      <c r="V707" s="23">
        <f>RATE(Table1[[#This Row],[Total No. of Coupons]],Table1[[#This Row],[Coupon Amount]],-Table1[[#This Row],[Ask Price]],Table1[[#This Row],[Face value]])</f>
        <v>6.4976459297735142E-2</v>
      </c>
      <c r="W707" s="24">
        <f>Table1[[#This Row],[IRR]]*Table1[[#This Row],[Coupon Frequency2]]</f>
        <v>6.4976459297735142E-2</v>
      </c>
      <c r="X707" s="25" cm="1">
        <f t="array" ref="X70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7" s="26">
        <f>DURATION(Table1[[#This Row],[Issue date]],Table1[[#This Row],[Maturity date]],Table1[[#This Row],[Current coupon %]],Table1[[#This Row],[Yield (Annualised)]],Table1[[#This Row],[Coupon Frequency2]])</f>
        <v>7.5007447605327133</v>
      </c>
      <c r="Z707" s="26">
        <f>Table1[[#This Row],[Macaulay Duration in Years]]/(1+Table1[[#This Row],[IRR]])</f>
        <v>7.0431085072799089</v>
      </c>
      <c r="AA707" s="27">
        <f>VLOOKUP(Table1[[#This Row],[Yield Cluster]],'[1]Cluster Details'!$B$3:$C$16,2,0)</f>
        <v>7.8548801574189142E-2</v>
      </c>
      <c r="AB707" s="28">
        <f>PRICE(Table1[[#This Row],[Issue date]],Table1[[#This Row],[Maturity date]],Table1[[#This Row],[Current coupon %]],Table1[[#This Row],[Average Cluster Yield]],100,Table1[[#This Row],[Coupon Frequency2]])*Table1[[#This Row],[Face value]]/100</f>
        <v>966.57467780151626</v>
      </c>
      <c r="AC707" s="27" t="str">
        <f>IF(Table1[[#This Row],[Ask Price]]&gt;Table1[[#This Row],[Calculated Bond Price]],"Rich","Cheap")</f>
        <v>Rich</v>
      </c>
      <c r="AD707" s="28">
        <f>PRICE(Table1[[#This Row],[Issue date]],Table1[[#This Row],[Maturity date]],Table1[[#This Row],[Current coupon %]],Table1[[#This Row],[Yield (Annualised)]]+$AE$2,100,Table1[[#This Row],[Coupon Frequency2]])*Table1[[#This Row],[Face value]]/100</f>
        <v>990.55085629508801</v>
      </c>
      <c r="AE707" s="28">
        <f>PRICE(Table1[[#This Row],[Issue date]],Table1[[#This Row],[Maturity date]],Table1[[#This Row],[Current coupon %]],Table1[[#This Row],[Yield (Annualised)]]-$AE$2,100,Table1[[#This Row],[Coupon Frequency2]])*Table1[[#This Row],[Face value]]/100</f>
        <v>1140.3931334976896</v>
      </c>
      <c r="AF707" s="28">
        <f>(Table1[[#This Row],[P (+ shock)]]+Table1[[#This Row],[P (-shock)]]-2*Table1[[#This Row],[Ask Price]])/(2*Table1[[#This Row],[Ask Price]]*($AE$2^2))</f>
        <v>32.692983958464012</v>
      </c>
    </row>
    <row r="708" spans="1:32" x14ac:dyDescent="0.25">
      <c r="A708" s="21" t="s">
        <v>1458</v>
      </c>
      <c r="B708" s="3" t="s">
        <v>1459</v>
      </c>
      <c r="C708" s="3" t="s">
        <v>19</v>
      </c>
      <c r="D708" s="4">
        <v>41541</v>
      </c>
      <c r="E708" s="4">
        <v>48846</v>
      </c>
      <c r="F708" s="3">
        <v>1000</v>
      </c>
      <c r="G708" s="3" t="s">
        <v>20</v>
      </c>
      <c r="H708" s="3">
        <v>1245.25</v>
      </c>
      <c r="I708" s="3" t="s">
        <v>20</v>
      </c>
      <c r="J708" s="3">
        <v>124.524999999999</v>
      </c>
      <c r="K708" s="3">
        <v>400</v>
      </c>
      <c r="L708" s="5">
        <v>8.6199999999999999E-2</v>
      </c>
      <c r="M708" s="3" t="s">
        <v>21</v>
      </c>
      <c r="N708" s="3">
        <v>2929</v>
      </c>
      <c r="O708" s="6">
        <f>Table1[[#This Row],[Current coupon %]]*Table1[[#This Row],[Face value]]/Table1[[#This Row],[Ask Price]]</f>
        <v>6.9223047580807065E-2</v>
      </c>
      <c r="P708" s="3"/>
      <c r="Q708" s="3" t="s">
        <v>22</v>
      </c>
      <c r="R708">
        <f t="shared" ref="R708:R772" si="11">ROUND(YEARFRAC(D708,E708),0)</f>
        <v>20</v>
      </c>
      <c r="S708" s="22" cm="1">
        <f t="array" ref="S708">_xlfn.IFS(Table1[[#This Row],[Coupon frequency]]="Semi-annual",2,Table1[[#This Row],[Coupon frequency]]="Quarterly",4,Table1[[#This Row],[Coupon frequency]]="Annual",1,Table1[[#This Row],[Coupon frequency]]="Every 4 months",3,Table1[[#This Row],[Coupon frequency]]="Monthly",12)</f>
        <v>1</v>
      </c>
      <c r="T708">
        <f>Table1[[#This Row],[Term to Maturity (Years)]]*Table1[[#This Row],[Coupon Frequency2]]</f>
        <v>20</v>
      </c>
      <c r="U708">
        <f>Table1[[#This Row],[Face value]]*Table1[[#This Row],[Current coupon %]]/Table1[[#This Row],[Coupon Frequency2]]</f>
        <v>86.2</v>
      </c>
      <c r="V708" s="23">
        <f>RATE(Table1[[#This Row],[Total No. of Coupons]],Table1[[#This Row],[Coupon Amount]],-Table1[[#This Row],[Ask Price]],Table1[[#This Row],[Face value]])</f>
        <v>6.4100729051865729E-2</v>
      </c>
      <c r="W708" s="24">
        <f>Table1[[#This Row],[IRR]]*Table1[[#This Row],[Coupon Frequency2]]</f>
        <v>6.4100729051865729E-2</v>
      </c>
      <c r="X708" s="25" cm="1">
        <f t="array" ref="X70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8" s="26">
        <f>DURATION(Table1[[#This Row],[Issue date]],Table1[[#This Row],[Maturity date]],Table1[[#This Row],[Current coupon %]],Table1[[#This Row],[Yield (Annualised)]],Table1[[#This Row],[Coupon Frequency2]])</f>
        <v>11.154473640005872</v>
      </c>
      <c r="Z708" s="26">
        <f>Table1[[#This Row],[Macaulay Duration in Years]]/(1+Table1[[#This Row],[IRR]])</f>
        <v>10.482535473821846</v>
      </c>
      <c r="AA708" s="27">
        <f>VLOOKUP(Table1[[#This Row],[Yield Cluster]],'[1]Cluster Details'!$B$3:$C$16,2,0)</f>
        <v>7.8548801574189142E-2</v>
      </c>
      <c r="AB708" s="28">
        <f>PRICE(Table1[[#This Row],[Issue date]],Table1[[#This Row],[Maturity date]],Table1[[#This Row],[Current coupon %]],Table1[[#This Row],[Average Cluster Yield]],100,Table1[[#This Row],[Coupon Frequency2]])*Table1[[#This Row],[Face value]]/100</f>
        <v>1075.9388264531797</v>
      </c>
      <c r="AC708" s="27" t="str">
        <f>IF(Table1[[#This Row],[Ask Price]]&gt;Table1[[#This Row],[Calculated Bond Price]],"Rich","Cheap")</f>
        <v>Rich</v>
      </c>
      <c r="AD708" s="28">
        <f>PRICE(Table1[[#This Row],[Issue date]],Table1[[#This Row],[Maturity date]],Table1[[#This Row],[Current coupon %]],Table1[[#This Row],[Yield (Annualised)]]+$AE$2,100,Table1[[#This Row],[Coupon Frequency2]])*Table1[[#This Row],[Face value]]/100</f>
        <v>1124.1940282707917</v>
      </c>
      <c r="AE708" s="28">
        <f>PRICE(Table1[[#This Row],[Issue date]],Table1[[#This Row],[Maturity date]],Table1[[#This Row],[Current coupon %]],Table1[[#This Row],[Yield (Annualised)]]-$AE$2,100,Table1[[#This Row],[Coupon Frequency2]])*Table1[[#This Row],[Face value]]/100</f>
        <v>1386.4769223908231</v>
      </c>
      <c r="AF708" s="28">
        <f>(Table1[[#This Row],[P (+ shock)]]+Table1[[#This Row],[P (-shock)]]-2*Table1[[#This Row],[Ask Price]])/(2*Table1[[#This Row],[Ask Price]]*($AE$2^2))</f>
        <v>80.991570614795521</v>
      </c>
    </row>
    <row r="709" spans="1:32" x14ac:dyDescent="0.25">
      <c r="A709" s="21" t="s">
        <v>1460</v>
      </c>
      <c r="B709" s="3" t="s">
        <v>1461</v>
      </c>
      <c r="C709" s="3" t="s">
        <v>19</v>
      </c>
      <c r="D709" s="4">
        <v>44218</v>
      </c>
      <c r="E709" s="4">
        <v>47870</v>
      </c>
      <c r="F709" s="3">
        <v>1000</v>
      </c>
      <c r="G709" s="3" t="s">
        <v>20</v>
      </c>
      <c r="H709" s="3">
        <v>1013</v>
      </c>
      <c r="I709" s="3" t="s">
        <v>20</v>
      </c>
      <c r="J709" s="3">
        <v>101.299999999999</v>
      </c>
      <c r="K709" s="3">
        <v>1</v>
      </c>
      <c r="L709" s="5">
        <v>7.0000000000000007E-2</v>
      </c>
      <c r="M709" s="3" t="s">
        <v>21</v>
      </c>
      <c r="N709" s="3">
        <v>1953</v>
      </c>
      <c r="O709" s="6">
        <f>Table1[[#This Row],[Current coupon %]]*Table1[[#This Row],[Face value]]/Table1[[#This Row],[Ask Price]]</f>
        <v>6.9101678183613027E-2</v>
      </c>
      <c r="P709" s="3" t="s">
        <v>54</v>
      </c>
      <c r="Q709" s="3" t="s">
        <v>22</v>
      </c>
      <c r="R709">
        <f t="shared" si="11"/>
        <v>10</v>
      </c>
      <c r="S709" s="22" cm="1">
        <f t="array" ref="S709">_xlfn.IFS(Table1[[#This Row],[Coupon frequency]]="Semi-annual",2,Table1[[#This Row],[Coupon frequency]]="Quarterly",4,Table1[[#This Row],[Coupon frequency]]="Annual",1,Table1[[#This Row],[Coupon frequency]]="Every 4 months",3,Table1[[#This Row],[Coupon frequency]]="Monthly",12)</f>
        <v>1</v>
      </c>
      <c r="T709">
        <f>Table1[[#This Row],[Term to Maturity (Years)]]*Table1[[#This Row],[Coupon Frequency2]]</f>
        <v>10</v>
      </c>
      <c r="U709">
        <f>Table1[[#This Row],[Face value]]*Table1[[#This Row],[Current coupon %]]/Table1[[#This Row],[Coupon Frequency2]]</f>
        <v>70</v>
      </c>
      <c r="V709" s="23">
        <f>RATE(Table1[[#This Row],[Total No. of Coupons]],Table1[[#This Row],[Coupon Amount]],-Table1[[#This Row],[Ask Price]],Table1[[#This Row],[Face value]])</f>
        <v>6.8164763173703055E-2</v>
      </c>
      <c r="W709" s="24">
        <f>Table1[[#This Row],[IRR]]*Table1[[#This Row],[Coupon Frequency2]]</f>
        <v>6.8164763173703055E-2</v>
      </c>
      <c r="X709" s="25" cm="1">
        <f t="array" ref="X70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09" s="26">
        <f>DURATION(Table1[[#This Row],[Issue date]],Table1[[#This Row],[Maturity date]],Table1[[#This Row],[Current coupon %]],Table1[[#This Row],[Yield (Annualised)]],Table1[[#This Row],[Coupon Frequency2]])</f>
        <v>7.5329538169229027</v>
      </c>
      <c r="Z709" s="26">
        <f>Table1[[#This Row],[Macaulay Duration in Years]]/(1+Table1[[#This Row],[IRR]])</f>
        <v>7.0522395763563557</v>
      </c>
      <c r="AA709" s="27">
        <f>VLOOKUP(Table1[[#This Row],[Yield Cluster]],'[1]Cluster Details'!$B$3:$C$16,2,0)</f>
        <v>7.8548801574189142E-2</v>
      </c>
      <c r="AB709" s="28">
        <f>PRICE(Table1[[#This Row],[Issue date]],Table1[[#This Row],[Maturity date]],Table1[[#This Row],[Current coupon %]],Table1[[#This Row],[Average Cluster Yield]],100,Table1[[#This Row],[Coupon Frequency2]])*Table1[[#This Row],[Face value]]/100</f>
        <v>942.2594657020577</v>
      </c>
      <c r="AC709" s="27" t="str">
        <f>IF(Table1[[#This Row],[Ask Price]]&gt;Table1[[#This Row],[Calculated Bond Price]],"Rich","Cheap")</f>
        <v>Rich</v>
      </c>
      <c r="AD709" s="28">
        <f>PRICE(Table1[[#This Row],[Issue date]],Table1[[#This Row],[Maturity date]],Table1[[#This Row],[Current coupon %]],Table1[[#This Row],[Yield (Annualised)]]+$AE$2,100,Table1[[#This Row],[Coupon Frequency2]])*Table1[[#This Row],[Face value]]/100</f>
        <v>944.75735422840557</v>
      </c>
      <c r="AE709" s="28">
        <f>PRICE(Table1[[#This Row],[Issue date]],Table1[[#This Row],[Maturity date]],Table1[[#This Row],[Current coupon %]],Table1[[#This Row],[Yield (Annualised)]]-$AE$2,100,Table1[[#This Row],[Coupon Frequency2]])*Table1[[#This Row],[Face value]]/100</f>
        <v>1087.8708049181266</v>
      </c>
      <c r="AF709" s="28">
        <f>(Table1[[#This Row],[P (+ shock)]]+Table1[[#This Row],[P (-shock)]]-2*Table1[[#This Row],[Ask Price]])/(2*Table1[[#This Row],[Ask Price]]*($AE$2^2))</f>
        <v>32.715494306674223</v>
      </c>
    </row>
    <row r="710" spans="1:32" x14ac:dyDescent="0.25">
      <c r="A710" s="21" t="s">
        <v>1462</v>
      </c>
      <c r="B710" s="3" t="s">
        <v>1463</v>
      </c>
      <c r="C710" s="3" t="s">
        <v>19</v>
      </c>
      <c r="D710" s="4">
        <v>44147</v>
      </c>
      <c r="E710" s="4">
        <v>45973</v>
      </c>
      <c r="F710" s="3">
        <v>1000000</v>
      </c>
      <c r="G710" s="3" t="s">
        <v>20</v>
      </c>
      <c r="H710" s="3">
        <v>1013662</v>
      </c>
      <c r="I710" s="3" t="s">
        <v>20</v>
      </c>
      <c r="J710" s="3">
        <v>101.36620000000001</v>
      </c>
      <c r="K710" s="3">
        <v>10</v>
      </c>
      <c r="L710" s="5">
        <v>7.0000000000000007E-2</v>
      </c>
      <c r="M710" s="3" t="s">
        <v>21</v>
      </c>
      <c r="N710" s="3">
        <v>56</v>
      </c>
      <c r="O710" s="6">
        <f>Table1[[#This Row],[Current coupon %]]*Table1[[#This Row],[Face value]]/Table1[[#This Row],[Ask Price]]</f>
        <v>6.9056549421799382E-2</v>
      </c>
      <c r="P710" s="3"/>
      <c r="Q710" s="3" t="s">
        <v>22</v>
      </c>
      <c r="R710">
        <f t="shared" si="11"/>
        <v>5</v>
      </c>
      <c r="S710" s="22" cm="1">
        <f t="array" ref="S710">_xlfn.IFS(Table1[[#This Row],[Coupon frequency]]="Semi-annual",2,Table1[[#This Row],[Coupon frequency]]="Quarterly",4,Table1[[#This Row],[Coupon frequency]]="Annual",1,Table1[[#This Row],[Coupon frequency]]="Every 4 months",3,Table1[[#This Row],[Coupon frequency]]="Monthly",12)</f>
        <v>1</v>
      </c>
      <c r="T710">
        <f>Table1[[#This Row],[Term to Maturity (Years)]]*Table1[[#This Row],[Coupon Frequency2]]</f>
        <v>5</v>
      </c>
      <c r="U710">
        <f>Table1[[#This Row],[Face value]]*Table1[[#This Row],[Current coupon %]]/Table1[[#This Row],[Coupon Frequency2]]</f>
        <v>70000</v>
      </c>
      <c r="V710" s="23">
        <f>RATE(Table1[[#This Row],[Total No. of Coupons]],Table1[[#This Row],[Coupon Amount]],-Table1[[#This Row],[Ask Price]],Table1[[#This Row],[Face value]])</f>
        <v>6.6697376674813472E-2</v>
      </c>
      <c r="W710" s="24">
        <f>Table1[[#This Row],[IRR]]*Table1[[#This Row],[Coupon Frequency2]]</f>
        <v>6.6697376674813472E-2</v>
      </c>
      <c r="X710" s="25" cm="1">
        <f t="array" ref="X71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0" s="26">
        <f>DURATION(Table1[[#This Row],[Issue date]],Table1[[#This Row],[Maturity date]],Table1[[#This Row],[Current coupon %]],Table1[[#This Row],[Yield (Annualised)]],Table1[[#This Row],[Coupon Frequency2]])</f>
        <v>4.3918429248202218</v>
      </c>
      <c r="Z710" s="26">
        <f>Table1[[#This Row],[Macaulay Duration in Years]]/(1+Table1[[#This Row],[IRR]])</f>
        <v>4.1172342042415</v>
      </c>
      <c r="AA710" s="27">
        <f>VLOOKUP(Table1[[#This Row],[Yield Cluster]],'[1]Cluster Details'!$B$3:$C$16,2,0)</f>
        <v>7.8548801574189142E-2</v>
      </c>
      <c r="AB710" s="28">
        <f>PRICE(Table1[[#This Row],[Issue date]],Table1[[#This Row],[Maturity date]],Table1[[#This Row],[Current coupon %]],Table1[[#This Row],[Average Cluster Yield]],100,Table1[[#This Row],[Coupon Frequency2]])*Table1[[#This Row],[Face value]]/100</f>
        <v>965736.16274528904</v>
      </c>
      <c r="AC710" s="27" t="str">
        <f>IF(Table1[[#This Row],[Ask Price]]&gt;Table1[[#This Row],[Calculated Bond Price]],"Rich","Cheap")</f>
        <v>Rich</v>
      </c>
      <c r="AD710" s="28">
        <f>PRICE(Table1[[#This Row],[Issue date]],Table1[[#This Row],[Maturity date]],Table1[[#This Row],[Current coupon %]],Table1[[#This Row],[Yield (Annualised)]]+$AE$2,100,Table1[[#This Row],[Coupon Frequency2]])*Table1[[#This Row],[Face value]]/100</f>
        <v>973024.9266929375</v>
      </c>
      <c r="AE710" s="28">
        <f>PRICE(Table1[[#This Row],[Issue date]],Table1[[#This Row],[Maturity date]],Table1[[#This Row],[Current coupon %]],Table1[[#This Row],[Yield (Annualised)]]-$AE$2,100,Table1[[#This Row],[Coupon Frequency2]])*Table1[[#This Row],[Face value]]/100</f>
        <v>1056542.5484776355</v>
      </c>
      <c r="AF710" s="28">
        <f>(Table1[[#This Row],[P (+ shock)]]+Table1[[#This Row],[P (-shock)]]-2*Table1[[#This Row],[Ask Price]])/(2*Table1[[#This Row],[Ask Price]]*($AE$2^2))</f>
        <v>11.06618957094666</v>
      </c>
    </row>
    <row r="711" spans="1:32" x14ac:dyDescent="0.25">
      <c r="A711" s="21" t="s">
        <v>1464</v>
      </c>
      <c r="B711" s="3" t="s">
        <v>1465</v>
      </c>
      <c r="C711" s="3" t="s">
        <v>19</v>
      </c>
      <c r="D711" s="4">
        <v>41594</v>
      </c>
      <c r="E711" s="4">
        <v>48899</v>
      </c>
      <c r="F711" s="3">
        <v>1000</v>
      </c>
      <c r="G711" s="3" t="s">
        <v>20</v>
      </c>
      <c r="H711" s="3">
        <v>1292.5</v>
      </c>
      <c r="I711" s="3" t="s">
        <v>20</v>
      </c>
      <c r="J711" s="3">
        <v>129.25</v>
      </c>
      <c r="K711" s="3">
        <v>1</v>
      </c>
      <c r="L711" s="5">
        <v>8.9200000000000002E-2</v>
      </c>
      <c r="M711" s="3" t="s">
        <v>21</v>
      </c>
      <c r="N711" s="3">
        <v>2982</v>
      </c>
      <c r="O711" s="6">
        <f>Table1[[#This Row],[Current coupon %]]*Table1[[#This Row],[Face value]]/Table1[[#This Row],[Ask Price]]</f>
        <v>6.9013539651837527E-2</v>
      </c>
      <c r="P711" s="3" t="s">
        <v>54</v>
      </c>
      <c r="Q711" s="3" t="s">
        <v>22</v>
      </c>
      <c r="R711">
        <f t="shared" si="11"/>
        <v>20</v>
      </c>
      <c r="S711" s="22" cm="1">
        <f t="array" ref="S711">_xlfn.IFS(Table1[[#This Row],[Coupon frequency]]="Semi-annual",2,Table1[[#This Row],[Coupon frequency]]="Quarterly",4,Table1[[#This Row],[Coupon frequency]]="Annual",1,Table1[[#This Row],[Coupon frequency]]="Every 4 months",3,Table1[[#This Row],[Coupon frequency]]="Monthly",12)</f>
        <v>1</v>
      </c>
      <c r="T711">
        <f>Table1[[#This Row],[Term to Maturity (Years)]]*Table1[[#This Row],[Coupon Frequency2]]</f>
        <v>20</v>
      </c>
      <c r="U711">
        <f>Table1[[#This Row],[Face value]]*Table1[[#This Row],[Current coupon %]]/Table1[[#This Row],[Coupon Frequency2]]</f>
        <v>89.2</v>
      </c>
      <c r="V711" s="23">
        <f>RATE(Table1[[#This Row],[Total No. of Coupons]],Table1[[#This Row],[Coupon Amount]],-Table1[[#This Row],[Ask Price]],Table1[[#This Row],[Face value]])</f>
        <v>6.3061157632326184E-2</v>
      </c>
      <c r="W711" s="24">
        <f>Table1[[#This Row],[IRR]]*Table1[[#This Row],[Coupon Frequency2]]</f>
        <v>6.3061157632326184E-2</v>
      </c>
      <c r="X711" s="25" cm="1">
        <f t="array" ref="X71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1" s="26">
        <f>DURATION(Table1[[#This Row],[Issue date]],Table1[[#This Row],[Maturity date]],Table1[[#This Row],[Current coupon %]],Table1[[#This Row],[Yield (Annualised)]],Table1[[#This Row],[Coupon Frequency2]])</f>
        <v>11.130962914866968</v>
      </c>
      <c r="Z711" s="26">
        <f>Table1[[#This Row],[Macaulay Duration in Years]]/(1+Table1[[#This Row],[IRR]])</f>
        <v>10.470670323105495</v>
      </c>
      <c r="AA711" s="27">
        <f>VLOOKUP(Table1[[#This Row],[Yield Cluster]],'[1]Cluster Details'!$B$3:$C$16,2,0)</f>
        <v>7.8548801574189142E-2</v>
      </c>
      <c r="AB711" s="28">
        <f>PRICE(Table1[[#This Row],[Issue date]],Table1[[#This Row],[Maturity date]],Table1[[#This Row],[Current coupon %]],Table1[[#This Row],[Average Cluster Yield]],100,Table1[[#This Row],[Coupon Frequency2]])*Table1[[#This Row],[Face value]]/100</f>
        <v>1105.7140938924622</v>
      </c>
      <c r="AC711" s="27" t="str">
        <f>IF(Table1[[#This Row],[Ask Price]]&gt;Table1[[#This Row],[Calculated Bond Price]],"Rich","Cheap")</f>
        <v>Rich</v>
      </c>
      <c r="AD711" s="28">
        <f>PRICE(Table1[[#This Row],[Issue date]],Table1[[#This Row],[Maturity date]],Table1[[#This Row],[Current coupon %]],Table1[[#This Row],[Yield (Annualised)]]+$AE$2,100,Table1[[#This Row],[Coupon Frequency2]])*Table1[[#This Row],[Face value]]/100</f>
        <v>1166.98161966929</v>
      </c>
      <c r="AE711" s="28">
        <f>PRICE(Table1[[#This Row],[Issue date]],Table1[[#This Row],[Maturity date]],Table1[[#This Row],[Current coupon %]],Table1[[#This Row],[Yield (Annualised)]]-$AE$2,100,Table1[[#This Row],[Coupon Frequency2]])*Table1[[#This Row],[Face value]]/100</f>
        <v>1438.9060893655696</v>
      </c>
      <c r="AF711" s="28">
        <f>(Table1[[#This Row],[P (+ shock)]]+Table1[[#This Row],[P (-shock)]]-2*Table1[[#This Row],[Ask Price]])/(2*Table1[[#This Row],[Ask Price]]*($AE$2^2))</f>
        <v>80.803516575859391</v>
      </c>
    </row>
    <row r="712" spans="1:32" x14ac:dyDescent="0.25">
      <c r="A712" s="21" t="s">
        <v>1466</v>
      </c>
      <c r="B712" s="3" t="s">
        <v>1467</v>
      </c>
      <c r="C712" s="3" t="s">
        <v>19</v>
      </c>
      <c r="D712" s="4">
        <v>44868</v>
      </c>
      <c r="E712" s="4">
        <v>45964</v>
      </c>
      <c r="F712" s="3">
        <v>1000</v>
      </c>
      <c r="G712" s="3" t="s">
        <v>20</v>
      </c>
      <c r="H712" s="3">
        <v>1052</v>
      </c>
      <c r="I712" s="3" t="s">
        <v>20</v>
      </c>
      <c r="J712" s="3">
        <v>105.2</v>
      </c>
      <c r="K712" s="3">
        <v>80</v>
      </c>
      <c r="L712" s="5">
        <v>7.2499999999999995E-2</v>
      </c>
      <c r="M712" s="3" t="s">
        <v>21</v>
      </c>
      <c r="N712" s="3">
        <v>47</v>
      </c>
      <c r="O712" s="6">
        <f>Table1[[#This Row],[Current coupon %]]*Table1[[#This Row],[Face value]]/Table1[[#This Row],[Ask Price]]</f>
        <v>6.8916349809885938E-2</v>
      </c>
      <c r="P712" s="3" t="s">
        <v>97</v>
      </c>
      <c r="Q712" s="3" t="s">
        <v>22</v>
      </c>
      <c r="R712">
        <f t="shared" si="11"/>
        <v>3</v>
      </c>
      <c r="S712" s="22" cm="1">
        <f t="array" ref="S712">_xlfn.IFS(Table1[[#This Row],[Coupon frequency]]="Semi-annual",2,Table1[[#This Row],[Coupon frequency]]="Quarterly",4,Table1[[#This Row],[Coupon frequency]]="Annual",1,Table1[[#This Row],[Coupon frequency]]="Every 4 months",3,Table1[[#This Row],[Coupon frequency]]="Monthly",12)</f>
        <v>1</v>
      </c>
      <c r="T712">
        <f>Table1[[#This Row],[Term to Maturity (Years)]]*Table1[[#This Row],[Coupon Frequency2]]</f>
        <v>3</v>
      </c>
      <c r="U712">
        <f>Table1[[#This Row],[Face value]]*Table1[[#This Row],[Current coupon %]]/Table1[[#This Row],[Coupon Frequency2]]</f>
        <v>72.5</v>
      </c>
      <c r="V712" s="23">
        <f>RATE(Table1[[#This Row],[Total No. of Coupons]],Table1[[#This Row],[Coupon Amount]],-Table1[[#This Row],[Ask Price]],Table1[[#This Row],[Face value]])</f>
        <v>5.3287415758013046E-2</v>
      </c>
      <c r="W712" s="24">
        <f>Table1[[#This Row],[IRR]]*Table1[[#This Row],[Coupon Frequency2]]</f>
        <v>5.3287415758013046E-2</v>
      </c>
      <c r="X712" s="25" cm="1">
        <f t="array" ref="X71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2" s="26">
        <f>DURATION(Table1[[#This Row],[Issue date]],Table1[[#This Row],[Maturity date]],Table1[[#This Row],[Current coupon %]],Table1[[#This Row],[Yield (Annualised)]],Table1[[#This Row],[Coupon Frequency2]])</f>
        <v>2.8070208917231896</v>
      </c>
      <c r="Z712" s="26">
        <f>Table1[[#This Row],[Macaulay Duration in Years]]/(1+Table1[[#This Row],[IRR]])</f>
        <v>2.6650094264185982</v>
      </c>
      <c r="AA712" s="27">
        <f>VLOOKUP(Table1[[#This Row],[Yield Cluster]],'[1]Cluster Details'!$B$3:$C$16,2,0)</f>
        <v>7.8548801574189142E-2</v>
      </c>
      <c r="AB712" s="28">
        <f>PRICE(Table1[[#This Row],[Issue date]],Table1[[#This Row],[Maturity date]],Table1[[#This Row],[Current coupon %]],Table1[[#This Row],[Average Cluster Yield]],100,Table1[[#This Row],[Coupon Frequency2]])*Table1[[#This Row],[Face value]]/100</f>
        <v>984.37074271778363</v>
      </c>
      <c r="AC712" s="27" t="str">
        <f>IF(Table1[[#This Row],[Ask Price]]&gt;Table1[[#This Row],[Calculated Bond Price]],"Rich","Cheap")</f>
        <v>Rich</v>
      </c>
      <c r="AD712" s="28">
        <f>PRICE(Table1[[#This Row],[Issue date]],Table1[[#This Row],[Maturity date]],Table1[[#This Row],[Current coupon %]],Table1[[#This Row],[Yield (Annualised)]]+$AE$2,100,Table1[[#This Row],[Coupon Frequency2]])*Table1[[#This Row],[Face value]]/100</f>
        <v>1024.4763329095438</v>
      </c>
      <c r="AE712" s="28">
        <f>PRICE(Table1[[#This Row],[Issue date]],Table1[[#This Row],[Maturity date]],Table1[[#This Row],[Current coupon %]],Table1[[#This Row],[Yield (Annualised)]]-$AE$2,100,Table1[[#This Row],[Coupon Frequency2]])*Table1[[#This Row],[Face value]]/100</f>
        <v>1080.5644083988657</v>
      </c>
      <c r="AF712" s="28">
        <f>(Table1[[#This Row],[P (+ shock)]]+Table1[[#This Row],[P (-shock)]]-2*Table1[[#This Row],[Ask Price]])/(2*Table1[[#This Row],[Ask Price]]*($AE$2^2))</f>
        <v>4.9464891084099403</v>
      </c>
    </row>
    <row r="713" spans="1:32" x14ac:dyDescent="0.25">
      <c r="A713" s="21" t="s">
        <v>1468</v>
      </c>
      <c r="B713" s="3" t="s">
        <v>1469</v>
      </c>
      <c r="C713" s="3" t="s">
        <v>19</v>
      </c>
      <c r="D713" s="4">
        <v>44218</v>
      </c>
      <c r="E713" s="4">
        <v>47870</v>
      </c>
      <c r="F713" s="3">
        <v>1000</v>
      </c>
      <c r="G713" s="3" t="s">
        <v>20</v>
      </c>
      <c r="H713" s="3">
        <v>990</v>
      </c>
      <c r="I713" s="3" t="s">
        <v>20</v>
      </c>
      <c r="J713" s="3">
        <v>99</v>
      </c>
      <c r="K713" s="3">
        <v>110</v>
      </c>
      <c r="L713" s="5">
        <v>6.8199999999999997E-2</v>
      </c>
      <c r="M713" s="3" t="s">
        <v>44</v>
      </c>
      <c r="N713" s="3">
        <v>1953</v>
      </c>
      <c r="O713" s="6">
        <f>Table1[[#This Row],[Current coupon %]]*Table1[[#This Row],[Face value]]/Table1[[#This Row],[Ask Price]]</f>
        <v>6.8888888888888888E-2</v>
      </c>
      <c r="P713" s="3" t="s">
        <v>54</v>
      </c>
      <c r="Q713" s="3" t="s">
        <v>22</v>
      </c>
      <c r="R713">
        <f t="shared" si="11"/>
        <v>10</v>
      </c>
      <c r="S713" s="22" cm="1">
        <f t="array" ref="S713">_xlfn.IFS(Table1[[#This Row],[Coupon frequency]]="Semi-annual",2,Table1[[#This Row],[Coupon frequency]]="Quarterly",4,Table1[[#This Row],[Coupon frequency]]="Annual",1,Table1[[#This Row],[Coupon frequency]]="Every 4 months",3,Table1[[#This Row],[Coupon frequency]]="Monthly",12)</f>
        <v>4</v>
      </c>
      <c r="T713">
        <f>Table1[[#This Row],[Term to Maturity (Years)]]*Table1[[#This Row],[Coupon Frequency2]]</f>
        <v>40</v>
      </c>
      <c r="U713">
        <f>Table1[[#This Row],[Face value]]*Table1[[#This Row],[Current coupon %]]/Table1[[#This Row],[Coupon Frequency2]]</f>
        <v>17.05</v>
      </c>
      <c r="V713" s="23">
        <f>RATE(Table1[[#This Row],[Total No. of Coupons]],Table1[[#This Row],[Coupon Amount]],-Table1[[#This Row],[Ask Price]],Table1[[#This Row],[Face value]])</f>
        <v>1.7399089756239338E-2</v>
      </c>
      <c r="W713" s="24">
        <f>Table1[[#This Row],[IRR]]*Table1[[#This Row],[Coupon Frequency2]]</f>
        <v>6.9596359024957352E-2</v>
      </c>
      <c r="X713" s="25" cm="1">
        <f t="array" ref="X71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3" s="26">
        <f>DURATION(Table1[[#This Row],[Issue date]],Table1[[#This Row],[Maturity date]],Table1[[#This Row],[Current coupon %]],Table1[[#This Row],[Yield (Annualised)]],Table1[[#This Row],[Coupon Frequency2]])</f>
        <v>7.3136730975367588</v>
      </c>
      <c r="Z713" s="26">
        <f>Table1[[#This Row],[Macaulay Duration in Years]]/(1+Table1[[#This Row],[IRR]])</f>
        <v>7.1885980351024852</v>
      </c>
      <c r="AA713" s="27">
        <f>VLOOKUP(Table1[[#This Row],[Yield Cluster]],'[1]Cluster Details'!$B$3:$C$16,2,0)</f>
        <v>7.8548801574189142E-2</v>
      </c>
      <c r="AB713" s="28">
        <f>PRICE(Table1[[#This Row],[Issue date]],Table1[[#This Row],[Maturity date]],Table1[[#This Row],[Current coupon %]],Table1[[#This Row],[Average Cluster Yield]],100,Table1[[#This Row],[Coupon Frequency2]])*Table1[[#This Row],[Face value]]/100</f>
        <v>928.77348108826129</v>
      </c>
      <c r="AC713" s="27" t="str">
        <f>IF(Table1[[#This Row],[Ask Price]]&gt;Table1[[#This Row],[Calculated Bond Price]],"Rich","Cheap")</f>
        <v>Rich</v>
      </c>
      <c r="AD713" s="28">
        <f>PRICE(Table1[[#This Row],[Issue date]],Table1[[#This Row],[Maturity date]],Table1[[#This Row],[Current coupon %]],Table1[[#This Row],[Yield (Annualised)]]+$AE$2,100,Table1[[#This Row],[Coupon Frequency2]])*Table1[[#This Row],[Face value]]/100</f>
        <v>921.92367573084198</v>
      </c>
      <c r="AE713" s="28">
        <f>PRICE(Table1[[#This Row],[Issue date]],Table1[[#This Row],[Maturity date]],Table1[[#This Row],[Current coupon %]],Table1[[#This Row],[Yield (Annualised)]]-$AE$2,100,Table1[[#This Row],[Coupon Frequency2]])*Table1[[#This Row],[Face value]]/100</f>
        <v>1064.4649811149882</v>
      </c>
      <c r="AF713" s="28">
        <f>(Table1[[#This Row],[P (+ shock)]]+Table1[[#This Row],[P (-shock)]]-2*Table1[[#This Row],[Ask Price]])/(2*Table1[[#This Row],[Ask Price]]*($AE$2^2))</f>
        <v>32.265943665808862</v>
      </c>
    </row>
    <row r="714" spans="1:32" x14ac:dyDescent="0.25">
      <c r="A714" s="21" t="s">
        <v>1470</v>
      </c>
      <c r="B714" s="3" t="s">
        <v>1471</v>
      </c>
      <c r="C714" s="3" t="s">
        <v>19</v>
      </c>
      <c r="D714" s="4">
        <v>44053</v>
      </c>
      <c r="E714" s="4">
        <v>49531</v>
      </c>
      <c r="F714" s="3">
        <v>1000000</v>
      </c>
      <c r="G714" s="3" t="s">
        <v>20</v>
      </c>
      <c r="H714" s="3">
        <v>1046331.8</v>
      </c>
      <c r="I714" s="3" t="s">
        <v>20</v>
      </c>
      <c r="J714" s="3">
        <v>104.63318</v>
      </c>
      <c r="K714" s="3">
        <v>2</v>
      </c>
      <c r="L714" s="5">
        <v>7.2000000000000008E-2</v>
      </c>
      <c r="M714" s="3" t="s">
        <v>21</v>
      </c>
      <c r="N714" s="3">
        <v>3614</v>
      </c>
      <c r="O714" s="6">
        <f>Table1[[#This Row],[Current coupon %]]*Table1[[#This Row],[Face value]]/Table1[[#This Row],[Ask Price]]</f>
        <v>6.8811824318060502E-2</v>
      </c>
      <c r="P714" s="3" t="s">
        <v>54</v>
      </c>
      <c r="Q714" s="3" t="s">
        <v>22</v>
      </c>
      <c r="R714">
        <f t="shared" si="11"/>
        <v>15</v>
      </c>
      <c r="S714" s="22" cm="1">
        <f t="array" ref="S714">_xlfn.IFS(Table1[[#This Row],[Coupon frequency]]="Semi-annual",2,Table1[[#This Row],[Coupon frequency]]="Quarterly",4,Table1[[#This Row],[Coupon frequency]]="Annual",1,Table1[[#This Row],[Coupon frequency]]="Every 4 months",3,Table1[[#This Row],[Coupon frequency]]="Monthly",12)</f>
        <v>1</v>
      </c>
      <c r="T714">
        <f>Table1[[#This Row],[Term to Maturity (Years)]]*Table1[[#This Row],[Coupon Frequency2]]</f>
        <v>15</v>
      </c>
      <c r="U714">
        <f>Table1[[#This Row],[Face value]]*Table1[[#This Row],[Current coupon %]]/Table1[[#This Row],[Coupon Frequency2]]</f>
        <v>72000.000000000015</v>
      </c>
      <c r="V714" s="23">
        <f>RATE(Table1[[#This Row],[Total No. of Coupons]],Table1[[#This Row],[Coupon Amount]],-Table1[[#This Row],[Ask Price]],Table1[[#This Row],[Face value]])</f>
        <v>6.7008705612266906E-2</v>
      </c>
      <c r="W714" s="24">
        <f>Table1[[#This Row],[IRR]]*Table1[[#This Row],[Coupon Frequency2]]</f>
        <v>6.7008705612266906E-2</v>
      </c>
      <c r="X714" s="25" cm="1">
        <f t="array" ref="X71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4" s="26">
        <f>DURATION(Table1[[#This Row],[Issue date]],Table1[[#This Row],[Maturity date]],Table1[[#This Row],[Current coupon %]],Table1[[#This Row],[Yield (Annualised)]],Table1[[#This Row],[Coupon Frequency2]])</f>
        <v>9.7674192488674603</v>
      </c>
      <c r="Z714" s="26">
        <f>Table1[[#This Row],[Macaulay Duration in Years]]/(1+Table1[[#This Row],[IRR]])</f>
        <v>9.1540202038583729</v>
      </c>
      <c r="AA714" s="27">
        <f>VLOOKUP(Table1[[#This Row],[Yield Cluster]],'[1]Cluster Details'!$B$3:$C$16,2,0)</f>
        <v>7.8548801574189142E-2</v>
      </c>
      <c r="AB714" s="28">
        <f>PRICE(Table1[[#This Row],[Issue date]],Table1[[#This Row],[Maturity date]],Table1[[#This Row],[Current coupon %]],Table1[[#This Row],[Average Cluster Yield]],100,Table1[[#This Row],[Coupon Frequency2]])*Table1[[#This Row],[Face value]]/100</f>
        <v>943445.53715264262</v>
      </c>
      <c r="AC714" s="27" t="str">
        <f>IF(Table1[[#This Row],[Ask Price]]&gt;Table1[[#This Row],[Calculated Bond Price]],"Rich","Cheap")</f>
        <v>Rich</v>
      </c>
      <c r="AD714" s="28">
        <f>PRICE(Table1[[#This Row],[Issue date]],Table1[[#This Row],[Maturity date]],Table1[[#This Row],[Current coupon %]],Table1[[#This Row],[Yield (Annualised)]]+$AE$2,100,Table1[[#This Row],[Coupon Frequency2]])*Table1[[#This Row],[Face value]]/100</f>
        <v>956333.80308536126</v>
      </c>
      <c r="AE714" s="28">
        <f>PRICE(Table1[[#This Row],[Issue date]],Table1[[#This Row],[Maturity date]],Table1[[#This Row],[Current coupon %]],Table1[[#This Row],[Yield (Annualised)]]-$AE$2,100,Table1[[#This Row],[Coupon Frequency2]])*Table1[[#This Row],[Face value]]/100</f>
        <v>1148487.672725681</v>
      </c>
      <c r="AF714" s="28">
        <f>(Table1[[#This Row],[P (+ shock)]]+Table1[[#This Row],[P (-shock)]]-2*Table1[[#This Row],[Ask Price]])/(2*Table1[[#This Row],[Ask Price]]*($AE$2^2))</f>
        <v>58.097612110433147</v>
      </c>
    </row>
    <row r="715" spans="1:32" x14ac:dyDescent="0.25">
      <c r="A715" s="21" t="s">
        <v>1472</v>
      </c>
      <c r="B715" s="3" t="s">
        <v>1473</v>
      </c>
      <c r="C715" s="3" t="s">
        <v>19</v>
      </c>
      <c r="D715" s="4">
        <v>41661</v>
      </c>
      <c r="E715" s="4">
        <v>48966</v>
      </c>
      <c r="F715" s="3">
        <v>1000</v>
      </c>
      <c r="G715" s="3" t="s">
        <v>20</v>
      </c>
      <c r="H715" s="3">
        <v>1260</v>
      </c>
      <c r="I715" s="3" t="s">
        <v>20</v>
      </c>
      <c r="J715" s="3">
        <v>126</v>
      </c>
      <c r="K715" s="3">
        <v>1500</v>
      </c>
      <c r="L715" s="5">
        <v>8.6599999999999996E-2</v>
      </c>
      <c r="M715" s="3" t="s">
        <v>21</v>
      </c>
      <c r="N715" s="3">
        <v>3049</v>
      </c>
      <c r="O715" s="6">
        <f>Table1[[#This Row],[Current coupon %]]*Table1[[#This Row],[Face value]]/Table1[[#This Row],[Ask Price]]</f>
        <v>6.8730158730158725E-2</v>
      </c>
      <c r="P715" s="3" t="s">
        <v>54</v>
      </c>
      <c r="Q715" s="3" t="s">
        <v>22</v>
      </c>
      <c r="R715">
        <f t="shared" si="11"/>
        <v>20</v>
      </c>
      <c r="S715" s="22" cm="1">
        <f t="array" ref="S715">_xlfn.IFS(Table1[[#This Row],[Coupon frequency]]="Semi-annual",2,Table1[[#This Row],[Coupon frequency]]="Quarterly",4,Table1[[#This Row],[Coupon frequency]]="Annual",1,Table1[[#This Row],[Coupon frequency]]="Every 4 months",3,Table1[[#This Row],[Coupon frequency]]="Monthly",12)</f>
        <v>1</v>
      </c>
      <c r="T715">
        <f>Table1[[#This Row],[Term to Maturity (Years)]]*Table1[[#This Row],[Coupon Frequency2]]</f>
        <v>20</v>
      </c>
      <c r="U715">
        <f>Table1[[#This Row],[Face value]]*Table1[[#This Row],[Current coupon %]]/Table1[[#This Row],[Coupon Frequency2]]</f>
        <v>86.6</v>
      </c>
      <c r="V715" s="23">
        <f>RATE(Table1[[#This Row],[Total No. of Coupons]],Table1[[#This Row],[Coupon Amount]],-Table1[[#This Row],[Ask Price]],Table1[[#This Row],[Face value]])</f>
        <v>6.3317702362951048E-2</v>
      </c>
      <c r="W715" s="24">
        <f>Table1[[#This Row],[IRR]]*Table1[[#This Row],[Coupon Frequency2]]</f>
        <v>6.3317702362951048E-2</v>
      </c>
      <c r="X715" s="25" cm="1">
        <f t="array" ref="X71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5" s="26">
        <f>DURATION(Table1[[#This Row],[Issue date]],Table1[[#This Row],[Maturity date]],Table1[[#This Row],[Current coupon %]],Table1[[#This Row],[Yield (Annualised)]],Table1[[#This Row],[Coupon Frequency2]])</f>
        <v>11.179782902654782</v>
      </c>
      <c r="Z715" s="26">
        <f>Table1[[#This Row],[Macaulay Duration in Years]]/(1+Table1[[#This Row],[IRR]])</f>
        <v>10.514056972634407</v>
      </c>
      <c r="AA715" s="27">
        <f>VLOOKUP(Table1[[#This Row],[Yield Cluster]],'[1]Cluster Details'!$B$3:$C$16,2,0)</f>
        <v>7.8548801574189142E-2</v>
      </c>
      <c r="AB715" s="28">
        <f>PRICE(Table1[[#This Row],[Issue date]],Table1[[#This Row],[Maturity date]],Table1[[#This Row],[Current coupon %]],Table1[[#This Row],[Average Cluster Yield]],100,Table1[[#This Row],[Coupon Frequency2]])*Table1[[#This Row],[Face value]]/100</f>
        <v>1079.9088621117508</v>
      </c>
      <c r="AC715" s="27" t="str">
        <f>IF(Table1[[#This Row],[Ask Price]]&gt;Table1[[#This Row],[Calculated Bond Price]],"Rich","Cheap")</f>
        <v>Rich</v>
      </c>
      <c r="AD715" s="28">
        <f>PRICE(Table1[[#This Row],[Issue date]],Table1[[#This Row],[Maturity date]],Table1[[#This Row],[Current coupon %]],Table1[[#This Row],[Yield (Annualised)]]+$AE$2,100,Table1[[#This Row],[Coupon Frequency2]])*Table1[[#This Row],[Face value]]/100</f>
        <v>1137.156210498373</v>
      </c>
      <c r="AE715" s="28">
        <f>PRICE(Table1[[#This Row],[Issue date]],Table1[[#This Row],[Maturity date]],Table1[[#This Row],[Current coupon %]],Table1[[#This Row],[Yield (Annualised)]]-$AE$2,100,Table1[[#This Row],[Coupon Frequency2]])*Table1[[#This Row],[Face value]]/100</f>
        <v>1403.3471390453683</v>
      </c>
      <c r="AF715" s="28">
        <f>(Table1[[#This Row],[P (+ shock)]]+Table1[[#This Row],[P (-shock)]]-2*Table1[[#This Row],[Ask Price]])/(2*Table1[[#This Row],[Ask Price]]*($AE$2^2))</f>
        <v>81.362498189448502</v>
      </c>
    </row>
    <row r="716" spans="1:32" x14ac:dyDescent="0.25">
      <c r="A716" s="21" t="s">
        <v>1474</v>
      </c>
      <c r="B716" s="3" t="s">
        <v>1475</v>
      </c>
      <c r="C716" s="3" t="s">
        <v>19</v>
      </c>
      <c r="D716" s="4">
        <v>42451</v>
      </c>
      <c r="E716" s="4">
        <v>46103</v>
      </c>
      <c r="F716" s="3">
        <v>1000</v>
      </c>
      <c r="G716" s="3" t="s">
        <v>20</v>
      </c>
      <c r="H716" s="3">
        <v>1025.1300000000001</v>
      </c>
      <c r="I716" s="3" t="s">
        <v>20</v>
      </c>
      <c r="J716" s="3">
        <v>102.51300000000001</v>
      </c>
      <c r="K716" s="3">
        <v>10</v>
      </c>
      <c r="L716" s="5">
        <v>7.0400000000000004E-2</v>
      </c>
      <c r="M716" s="3" t="s">
        <v>21</v>
      </c>
      <c r="N716" s="3">
        <v>186</v>
      </c>
      <c r="O716" s="6">
        <f>Table1[[#This Row],[Current coupon %]]*Table1[[#This Row],[Face value]]/Table1[[#This Row],[Ask Price]]</f>
        <v>6.8674216928584664E-2</v>
      </c>
      <c r="P716" s="3" t="s">
        <v>297</v>
      </c>
      <c r="Q716" s="3" t="s">
        <v>22</v>
      </c>
      <c r="R716">
        <f t="shared" si="11"/>
        <v>10</v>
      </c>
      <c r="S716" s="22" cm="1">
        <f t="array" ref="S716">_xlfn.IFS(Table1[[#This Row],[Coupon frequency]]="Semi-annual",2,Table1[[#This Row],[Coupon frequency]]="Quarterly",4,Table1[[#This Row],[Coupon frequency]]="Annual",1,Table1[[#This Row],[Coupon frequency]]="Every 4 months",3,Table1[[#This Row],[Coupon frequency]]="Monthly",12)</f>
        <v>1</v>
      </c>
      <c r="T716">
        <f>Table1[[#This Row],[Term to Maturity (Years)]]*Table1[[#This Row],[Coupon Frequency2]]</f>
        <v>10</v>
      </c>
      <c r="U716">
        <f>Table1[[#This Row],[Face value]]*Table1[[#This Row],[Current coupon %]]/Table1[[#This Row],[Coupon Frequency2]]</f>
        <v>70.400000000000006</v>
      </c>
      <c r="V716" s="23">
        <f>RATE(Table1[[#This Row],[Total No. of Coupons]],Table1[[#This Row],[Coupon Amount]],-Table1[[#This Row],[Ask Price]],Table1[[#This Row],[Face value]])</f>
        <v>6.6873585830626511E-2</v>
      </c>
      <c r="W716" s="24">
        <f>Table1[[#This Row],[IRR]]*Table1[[#This Row],[Coupon Frequency2]]</f>
        <v>6.6873585830626511E-2</v>
      </c>
      <c r="X716" s="25" cm="1">
        <f t="array" ref="X71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6" s="26">
        <f>DURATION(Table1[[#This Row],[Issue date]],Table1[[#This Row],[Maturity date]],Table1[[#This Row],[Current coupon %]],Table1[[#This Row],[Yield (Annualised)]],Table1[[#This Row],[Coupon Frequency2]])</f>
        <v>7.5382274849734605</v>
      </c>
      <c r="Z716" s="26">
        <f>Table1[[#This Row],[Macaulay Duration in Years]]/(1+Table1[[#This Row],[IRR]])</f>
        <v>7.0657176118054217</v>
      </c>
      <c r="AA716" s="27">
        <f>VLOOKUP(Table1[[#This Row],[Yield Cluster]],'[1]Cluster Details'!$B$3:$C$16,2,0)</f>
        <v>7.8548801574189142E-2</v>
      </c>
      <c r="AB716" s="28">
        <f>PRICE(Table1[[#This Row],[Issue date]],Table1[[#This Row],[Maturity date]],Table1[[#This Row],[Current coupon %]],Table1[[#This Row],[Average Cluster Yield]],100,Table1[[#This Row],[Coupon Frequency2]])*Table1[[#This Row],[Face value]]/100</f>
        <v>944.96115593533091</v>
      </c>
      <c r="AC716" s="27" t="str">
        <f>IF(Table1[[#This Row],[Ask Price]]&gt;Table1[[#This Row],[Calculated Bond Price]],"Rich","Cheap")</f>
        <v>Rich</v>
      </c>
      <c r="AD716" s="28">
        <f>PRICE(Table1[[#This Row],[Issue date]],Table1[[#This Row],[Maturity date]],Table1[[#This Row],[Current coupon %]],Table1[[#This Row],[Yield (Annualised)]]+$AE$2,100,Table1[[#This Row],[Coupon Frequency2]])*Table1[[#This Row],[Face value]]/100</f>
        <v>955.94243798473883</v>
      </c>
      <c r="AE716" s="28">
        <f>PRICE(Table1[[#This Row],[Issue date]],Table1[[#This Row],[Maturity date]],Table1[[#This Row],[Current coupon %]],Table1[[#This Row],[Yield (Annualised)]]-$AE$2,100,Table1[[#This Row],[Coupon Frequency2]])*Table1[[#This Row],[Face value]]/100</f>
        <v>1101.0469815751885</v>
      </c>
      <c r="AF716" s="28">
        <f>(Table1[[#This Row],[P (+ shock)]]+Table1[[#This Row],[P (-shock)]]-2*Table1[[#This Row],[Ask Price]])/(2*Table1[[#This Row],[Ask Price]]*($AE$2^2))</f>
        <v>32.822274052690922</v>
      </c>
    </row>
    <row r="717" spans="1:32" x14ac:dyDescent="0.25">
      <c r="A717" s="21" t="s">
        <v>1476</v>
      </c>
      <c r="B717" s="3" t="s">
        <v>1477</v>
      </c>
      <c r="C717" s="3" t="s">
        <v>19</v>
      </c>
      <c r="D717" s="4">
        <v>42359</v>
      </c>
      <c r="E717" s="4">
        <v>46012</v>
      </c>
      <c r="F717" s="3">
        <v>1000</v>
      </c>
      <c r="G717" s="3" t="s">
        <v>20</v>
      </c>
      <c r="H717" s="3">
        <v>1066</v>
      </c>
      <c r="I717" s="3" t="s">
        <v>20</v>
      </c>
      <c r="J717" s="3">
        <v>106.6</v>
      </c>
      <c r="K717" s="3">
        <v>25</v>
      </c>
      <c r="L717" s="5">
        <v>7.3200000000000001E-2</v>
      </c>
      <c r="M717" s="3" t="s">
        <v>21</v>
      </c>
      <c r="N717" s="3">
        <v>95</v>
      </c>
      <c r="O717" s="6">
        <f>Table1[[#This Row],[Current coupon %]]*Table1[[#This Row],[Face value]]/Table1[[#This Row],[Ask Price]]</f>
        <v>6.8667917448405252E-2</v>
      </c>
      <c r="P717" s="3" t="s">
        <v>297</v>
      </c>
      <c r="Q717" s="3" t="s">
        <v>22</v>
      </c>
      <c r="R717">
        <f t="shared" si="11"/>
        <v>10</v>
      </c>
      <c r="S717" s="22" cm="1">
        <f t="array" ref="S717">_xlfn.IFS(Table1[[#This Row],[Coupon frequency]]="Semi-annual",2,Table1[[#This Row],[Coupon frequency]]="Quarterly",4,Table1[[#This Row],[Coupon frequency]]="Annual",1,Table1[[#This Row],[Coupon frequency]]="Every 4 months",3,Table1[[#This Row],[Coupon frequency]]="Monthly",12)</f>
        <v>1</v>
      </c>
      <c r="T717">
        <f>Table1[[#This Row],[Term to Maturity (Years)]]*Table1[[#This Row],[Coupon Frequency2]]</f>
        <v>10</v>
      </c>
      <c r="U717">
        <f>Table1[[#This Row],[Face value]]*Table1[[#This Row],[Current coupon %]]/Table1[[#This Row],[Coupon Frequency2]]</f>
        <v>73.2</v>
      </c>
      <c r="V717" s="23">
        <f>RATE(Table1[[#This Row],[Total No. of Coupons]],Table1[[#This Row],[Coupon Amount]],-Table1[[#This Row],[Ask Price]],Table1[[#This Row],[Face value]])</f>
        <v>6.4059457763052788E-2</v>
      </c>
      <c r="W717" s="24">
        <f>Table1[[#This Row],[IRR]]*Table1[[#This Row],[Coupon Frequency2]]</f>
        <v>6.4059457763052788E-2</v>
      </c>
      <c r="X717" s="25" cm="1">
        <f t="array" ref="X71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7" s="26">
        <f>DURATION(Table1[[#This Row],[Issue date]],Table1[[#This Row],[Maturity date]],Table1[[#This Row],[Current coupon %]],Table1[[#This Row],[Yield (Annualised)]],Table1[[#This Row],[Coupon Frequency2]])</f>
        <v>7.5164476946526513</v>
      </c>
      <c r="Z717" s="26">
        <f>Table1[[#This Row],[Macaulay Duration in Years]]/(1+Table1[[#This Row],[IRR]])</f>
        <v>7.0639357977742163</v>
      </c>
      <c r="AA717" s="27">
        <f>VLOOKUP(Table1[[#This Row],[Yield Cluster]],'[1]Cluster Details'!$B$3:$C$16,2,0)</f>
        <v>7.8548801574189142E-2</v>
      </c>
      <c r="AB717" s="28">
        <f>PRICE(Table1[[#This Row],[Issue date]],Table1[[#This Row],[Maturity date]],Table1[[#This Row],[Current coupon %]],Table1[[#This Row],[Average Cluster Yield]],100,Table1[[#This Row],[Coupon Frequency2]])*Table1[[#This Row],[Face value]]/100</f>
        <v>963.87298756824327</v>
      </c>
      <c r="AC717" s="27" t="str">
        <f>IF(Table1[[#This Row],[Ask Price]]&gt;Table1[[#This Row],[Calculated Bond Price]],"Rich","Cheap")</f>
        <v>Rich</v>
      </c>
      <c r="AD717" s="28">
        <f>PRICE(Table1[[#This Row],[Issue date]],Table1[[#This Row],[Maturity date]],Table1[[#This Row],[Current coupon %]],Table1[[#This Row],[Yield (Annualised)]]+$AE$2,100,Table1[[#This Row],[Coupon Frequency2]])*Table1[[#This Row],[Face value]]/100</f>
        <v>994.07519297976398</v>
      </c>
      <c r="AE717" s="28">
        <f>PRICE(Table1[[#This Row],[Issue date]],Table1[[#This Row],[Maturity date]],Table1[[#This Row],[Current coupon %]],Table1[[#This Row],[Yield (Annualised)]]-$AE$2,100,Table1[[#This Row],[Coupon Frequency2]])*Table1[[#This Row],[Face value]]/100</f>
        <v>1144.9273549853599</v>
      </c>
      <c r="AF717" s="28">
        <f>(Table1[[#This Row],[P (+ shock)]]+Table1[[#This Row],[P (-shock)]]-2*Table1[[#This Row],[Ask Price]])/(2*Table1[[#This Row],[Ask Price]]*($AE$2^2))</f>
        <v>32.844971693827368</v>
      </c>
    </row>
    <row r="718" spans="1:32" x14ac:dyDescent="0.25">
      <c r="A718" s="21" t="s">
        <v>1478</v>
      </c>
      <c r="B718" s="3" t="s">
        <v>1479</v>
      </c>
      <c r="C718" s="3" t="s">
        <v>19</v>
      </c>
      <c r="D718" s="4">
        <v>45673</v>
      </c>
      <c r="E718" s="4">
        <v>49325</v>
      </c>
      <c r="F718" s="3">
        <v>100000</v>
      </c>
      <c r="G718" s="3" t="s">
        <v>20</v>
      </c>
      <c r="H718" s="3">
        <v>105318</v>
      </c>
      <c r="I718" s="3" t="s">
        <v>20</v>
      </c>
      <c r="J718" s="3">
        <v>105.318</v>
      </c>
      <c r="K718" s="3">
        <v>3400</v>
      </c>
      <c r="L718" s="5">
        <v>7.2300000000000003E-2</v>
      </c>
      <c r="M718" s="3" t="s">
        <v>21</v>
      </c>
      <c r="N718" s="3">
        <v>3408</v>
      </c>
      <c r="O718" s="6">
        <f>Table1[[#This Row],[Current coupon %]]*Table1[[#This Row],[Face value]]/Table1[[#This Row],[Ask Price]]</f>
        <v>6.8649233749216665E-2</v>
      </c>
      <c r="P718" s="3" t="s">
        <v>54</v>
      </c>
      <c r="Q718" s="3" t="s">
        <v>22</v>
      </c>
      <c r="R718">
        <f t="shared" si="11"/>
        <v>10</v>
      </c>
      <c r="S718" s="22" cm="1">
        <f t="array" ref="S718">_xlfn.IFS(Table1[[#This Row],[Coupon frequency]]="Semi-annual",2,Table1[[#This Row],[Coupon frequency]]="Quarterly",4,Table1[[#This Row],[Coupon frequency]]="Annual",1,Table1[[#This Row],[Coupon frequency]]="Every 4 months",3,Table1[[#This Row],[Coupon frequency]]="Monthly",12)</f>
        <v>1</v>
      </c>
      <c r="T718">
        <f>Table1[[#This Row],[Term to Maturity (Years)]]*Table1[[#This Row],[Coupon Frequency2]]</f>
        <v>10</v>
      </c>
      <c r="U718">
        <f>Table1[[#This Row],[Face value]]*Table1[[#This Row],[Current coupon %]]/Table1[[#This Row],[Coupon Frequency2]]</f>
        <v>7230</v>
      </c>
      <c r="V718" s="23">
        <f>RATE(Table1[[#This Row],[Total No. of Coupons]],Table1[[#This Row],[Coupon Amount]],-Table1[[#This Row],[Ask Price]],Table1[[#This Row],[Face value]])</f>
        <v>6.4905677550874008E-2</v>
      </c>
      <c r="W718" s="24">
        <f>Table1[[#This Row],[IRR]]*Table1[[#This Row],[Coupon Frequency2]]</f>
        <v>6.4905677550874008E-2</v>
      </c>
      <c r="X718" s="25" cm="1">
        <f t="array" ref="X71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8" s="26">
        <f>DURATION(Table1[[#This Row],[Issue date]],Table1[[#This Row],[Maturity date]],Table1[[#This Row],[Current coupon %]],Table1[[#This Row],[Yield (Annualised)]],Table1[[#This Row],[Coupon Frequency2]])</f>
        <v>7.5237736621222862</v>
      </c>
      <c r="Z718" s="26">
        <f>Table1[[#This Row],[Macaulay Duration in Years]]/(1+Table1[[#This Row],[IRR]])</f>
        <v>7.0652019429794528</v>
      </c>
      <c r="AA718" s="27">
        <f>VLOOKUP(Table1[[#This Row],[Yield Cluster]],'[1]Cluster Details'!$B$3:$C$16,2,0)</f>
        <v>7.8548801574189142E-2</v>
      </c>
      <c r="AB718" s="28">
        <f>PRICE(Table1[[#This Row],[Issue date]],Table1[[#This Row],[Maturity date]],Table1[[#This Row],[Current coupon %]],Table1[[#This Row],[Average Cluster Yield]],100,Table1[[#This Row],[Coupon Frequency2]])*Table1[[#This Row],[Face value]]/100</f>
        <v>95779.418454337865</v>
      </c>
      <c r="AC718" s="27" t="str">
        <f>IF(Table1[[#This Row],[Ask Price]]&gt;Table1[[#This Row],[Calculated Bond Price]],"Rich","Cheap")</f>
        <v>Rich</v>
      </c>
      <c r="AD718" s="28">
        <f>PRICE(Table1[[#This Row],[Issue date]],Table1[[#This Row],[Maturity date]],Table1[[#This Row],[Current coupon %]],Table1[[#This Row],[Yield (Annualised)]]+$AE$2,100,Table1[[#This Row],[Coupon Frequency2]])*Table1[[#This Row],[Face value]]/100</f>
        <v>98210.671275275468</v>
      </c>
      <c r="AE718" s="28">
        <f>PRICE(Table1[[#This Row],[Issue date]],Table1[[#This Row],[Maturity date]],Table1[[#This Row],[Current coupon %]],Table1[[#This Row],[Yield (Annualised)]]-$AE$2,100,Table1[[#This Row],[Coupon Frequency2]])*Table1[[#This Row],[Face value]]/100</f>
        <v>113117.12329836465</v>
      </c>
      <c r="AF718" s="28">
        <f>(Table1[[#This Row],[P (+ shock)]]+Table1[[#This Row],[P (-shock)]]-2*Table1[[#This Row],[Ask Price]])/(2*Table1[[#This Row],[Ask Price]]*($AE$2^2))</f>
        <v>32.843130976665982</v>
      </c>
    </row>
    <row r="719" spans="1:32" x14ac:dyDescent="0.25">
      <c r="A719" s="21" t="s">
        <v>1480</v>
      </c>
      <c r="B719" s="3" t="s">
        <v>1481</v>
      </c>
      <c r="C719" s="3" t="s">
        <v>19</v>
      </c>
      <c r="D719" s="4">
        <v>44686</v>
      </c>
      <c r="E719" s="4">
        <v>46512</v>
      </c>
      <c r="F719" s="3">
        <v>1000</v>
      </c>
      <c r="G719" s="3" t="s">
        <v>20</v>
      </c>
      <c r="H719" s="3">
        <v>1020</v>
      </c>
      <c r="I719" s="3" t="s">
        <v>20</v>
      </c>
      <c r="J719" s="3">
        <v>102</v>
      </c>
      <c r="K719" s="3">
        <v>1191</v>
      </c>
      <c r="L719" s="5">
        <v>7.0000000000000007E-2</v>
      </c>
      <c r="M719" s="3" t="s">
        <v>21</v>
      </c>
      <c r="N719" s="3">
        <v>595</v>
      </c>
      <c r="O719" s="6">
        <f>Table1[[#This Row],[Current coupon %]]*Table1[[#This Row],[Face value]]/Table1[[#This Row],[Ask Price]]</f>
        <v>6.8627450980392163E-2</v>
      </c>
      <c r="P719" s="3" t="s">
        <v>97</v>
      </c>
      <c r="Q719" s="3" t="s">
        <v>22</v>
      </c>
      <c r="R719">
        <f t="shared" si="11"/>
        <v>5</v>
      </c>
      <c r="S719" s="22" cm="1">
        <f t="array" ref="S719">_xlfn.IFS(Table1[[#This Row],[Coupon frequency]]="Semi-annual",2,Table1[[#This Row],[Coupon frequency]]="Quarterly",4,Table1[[#This Row],[Coupon frequency]]="Annual",1,Table1[[#This Row],[Coupon frequency]]="Every 4 months",3,Table1[[#This Row],[Coupon frequency]]="Monthly",12)</f>
        <v>1</v>
      </c>
      <c r="T719">
        <f>Table1[[#This Row],[Term to Maturity (Years)]]*Table1[[#This Row],[Coupon Frequency2]]</f>
        <v>5</v>
      </c>
      <c r="U719">
        <f>Table1[[#This Row],[Face value]]*Table1[[#This Row],[Current coupon %]]/Table1[[#This Row],[Coupon Frequency2]]</f>
        <v>70</v>
      </c>
      <c r="V719" s="23">
        <f>RATE(Table1[[#This Row],[Total No. of Coupons]],Table1[[#This Row],[Coupon Amount]],-Table1[[#This Row],[Ask Price]],Table1[[#This Row],[Face value]])</f>
        <v>6.5184907298030767E-2</v>
      </c>
      <c r="W719" s="24">
        <f>Table1[[#This Row],[IRR]]*Table1[[#This Row],[Coupon Frequency2]]</f>
        <v>6.5184907298030767E-2</v>
      </c>
      <c r="X719" s="25" cm="1">
        <f t="array" ref="X71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19" s="26">
        <f>DURATION(Table1[[#This Row],[Issue date]],Table1[[#This Row],[Maturity date]],Table1[[#This Row],[Current coupon %]],Table1[[#This Row],[Yield (Annualised)]],Table1[[#This Row],[Coupon Frequency2]])</f>
        <v>4.393958133915743</v>
      </c>
      <c r="Z719" s="26">
        <f>Table1[[#This Row],[Macaulay Duration in Years]]/(1+Table1[[#This Row],[IRR]])</f>
        <v>4.1250660836544748</v>
      </c>
      <c r="AA719" s="27">
        <f>VLOOKUP(Table1[[#This Row],[Yield Cluster]],'[1]Cluster Details'!$B$3:$C$16,2,0)</f>
        <v>7.8548801574189142E-2</v>
      </c>
      <c r="AB719" s="28">
        <f>PRICE(Table1[[#This Row],[Issue date]],Table1[[#This Row],[Maturity date]],Table1[[#This Row],[Current coupon %]],Table1[[#This Row],[Average Cluster Yield]],100,Table1[[#This Row],[Coupon Frequency2]])*Table1[[#This Row],[Face value]]/100</f>
        <v>965.73616274528899</v>
      </c>
      <c r="AC719" s="27" t="str">
        <f>IF(Table1[[#This Row],[Ask Price]]&gt;Table1[[#This Row],[Calculated Bond Price]],"Rich","Cheap")</f>
        <v>Rich</v>
      </c>
      <c r="AD719" s="28">
        <f>PRICE(Table1[[#This Row],[Issue date]],Table1[[#This Row],[Maturity date]],Table1[[#This Row],[Current coupon %]],Table1[[#This Row],[Yield (Annualised)]]+$AE$2,100,Table1[[#This Row],[Coupon Frequency2]])*Table1[[#This Row],[Face value]]/100</f>
        <v>979.03276192257147</v>
      </c>
      <c r="AE719" s="28">
        <f>PRICE(Table1[[#This Row],[Issue date]],Table1[[#This Row],[Maturity date]],Table1[[#This Row],[Current coupon %]],Table1[[#This Row],[Yield (Annualised)]]-$AE$2,100,Table1[[#This Row],[Coupon Frequency2]])*Table1[[#This Row],[Face value]]/100</f>
        <v>1063.2325943877138</v>
      </c>
      <c r="AF719" s="28">
        <f>(Table1[[#This Row],[P (+ shock)]]+Table1[[#This Row],[P (-shock)]]-2*Table1[[#This Row],[Ask Price]])/(2*Table1[[#This Row],[Ask Price]]*($AE$2^2))</f>
        <v>11.104687795516517</v>
      </c>
    </row>
    <row r="720" spans="1:32" x14ac:dyDescent="0.25">
      <c r="A720" s="21" t="s">
        <v>1482</v>
      </c>
      <c r="B720" s="3" t="s">
        <v>1483</v>
      </c>
      <c r="C720" s="3" t="s">
        <v>19</v>
      </c>
      <c r="D720" s="4">
        <v>42282</v>
      </c>
      <c r="E720" s="4">
        <v>45935</v>
      </c>
      <c r="F720" s="3">
        <v>1000</v>
      </c>
      <c r="G720" s="3" t="s">
        <v>20</v>
      </c>
      <c r="H720" s="3">
        <v>1074.9000000000001</v>
      </c>
      <c r="I720" s="3" t="s">
        <v>20</v>
      </c>
      <c r="J720" s="3">
        <v>107.49</v>
      </c>
      <c r="K720" s="3">
        <v>727</v>
      </c>
      <c r="L720" s="5">
        <v>7.3599999999999999E-2</v>
      </c>
      <c r="M720" s="3" t="s">
        <v>21</v>
      </c>
      <c r="N720" s="3">
        <v>18</v>
      </c>
      <c r="O720" s="6">
        <f>Table1[[#This Row],[Current coupon %]]*Table1[[#This Row],[Face value]]/Table1[[#This Row],[Ask Price]]</f>
        <v>6.8471485719601807E-2</v>
      </c>
      <c r="P720" s="3" t="s">
        <v>297</v>
      </c>
      <c r="Q720" s="3" t="s">
        <v>22</v>
      </c>
      <c r="R720">
        <f t="shared" si="11"/>
        <v>10</v>
      </c>
      <c r="S720" s="22" cm="1">
        <f t="array" ref="S720">_xlfn.IFS(Table1[[#This Row],[Coupon frequency]]="Semi-annual",2,Table1[[#This Row],[Coupon frequency]]="Quarterly",4,Table1[[#This Row],[Coupon frequency]]="Annual",1,Table1[[#This Row],[Coupon frequency]]="Every 4 months",3,Table1[[#This Row],[Coupon frequency]]="Monthly",12)</f>
        <v>1</v>
      </c>
      <c r="T720">
        <f>Table1[[#This Row],[Term to Maturity (Years)]]*Table1[[#This Row],[Coupon Frequency2]]</f>
        <v>10</v>
      </c>
      <c r="U720">
        <f>Table1[[#This Row],[Face value]]*Table1[[#This Row],[Current coupon %]]/Table1[[#This Row],[Coupon Frequency2]]</f>
        <v>73.599999999999994</v>
      </c>
      <c r="V720" s="23">
        <f>RATE(Table1[[#This Row],[Total No. of Coupons]],Table1[[#This Row],[Coupon Amount]],-Table1[[#This Row],[Ask Price]],Table1[[#This Row],[Face value]])</f>
        <v>6.3265467582226245E-2</v>
      </c>
      <c r="W720" s="24">
        <f>Table1[[#This Row],[IRR]]*Table1[[#This Row],[Coupon Frequency2]]</f>
        <v>6.3265467582226245E-2</v>
      </c>
      <c r="X720" s="25" cm="1">
        <f t="array" ref="X72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0" s="26">
        <f>DURATION(Table1[[#This Row],[Issue date]],Table1[[#This Row],[Maturity date]],Table1[[#This Row],[Current coupon %]],Table1[[#This Row],[Yield (Annualised)]],Table1[[#This Row],[Coupon Frequency2]])</f>
        <v>7.5173011329092789</v>
      </c>
      <c r="Z720" s="26">
        <f>Table1[[#This Row],[Macaulay Duration in Years]]/(1+Table1[[#This Row],[IRR]])</f>
        <v>7.0700134275995739</v>
      </c>
      <c r="AA720" s="27">
        <f>VLOOKUP(Table1[[#This Row],[Yield Cluster]],'[1]Cluster Details'!$B$3:$C$16,2,0)</f>
        <v>7.8548801574189142E-2</v>
      </c>
      <c r="AB720" s="28">
        <f>PRICE(Table1[[#This Row],[Issue date]],Table1[[#This Row],[Maturity date]],Table1[[#This Row],[Current coupon %]],Table1[[#This Row],[Average Cluster Yield]],100,Table1[[#This Row],[Coupon Frequency2]])*Table1[[#This Row],[Face value]]/100</f>
        <v>966.57467780151626</v>
      </c>
      <c r="AC720" s="27" t="str">
        <f>IF(Table1[[#This Row],[Ask Price]]&gt;Table1[[#This Row],[Calculated Bond Price]],"Rich","Cheap")</f>
        <v>Rich</v>
      </c>
      <c r="AD720" s="28">
        <f>PRICE(Table1[[#This Row],[Issue date]],Table1[[#This Row],[Maturity date]],Table1[[#This Row],[Current coupon %]],Table1[[#This Row],[Yield (Annualised)]]+$AE$2,100,Table1[[#This Row],[Coupon Frequency2]])*Table1[[#This Row],[Face value]]/100</f>
        <v>1002.3145552911076</v>
      </c>
      <c r="AE720" s="28">
        <f>PRICE(Table1[[#This Row],[Issue date]],Table1[[#This Row],[Maturity date]],Table1[[#This Row],[Current coupon %]],Table1[[#This Row],[Yield (Annualised)]]-$AE$2,100,Table1[[#This Row],[Coupon Frequency2]])*Table1[[#This Row],[Face value]]/100</f>
        <v>1154.5573934053575</v>
      </c>
      <c r="AF720" s="28">
        <f>(Table1[[#This Row],[P (+ shock)]]+Table1[[#This Row],[P (-shock)]]-2*Table1[[#This Row],[Ask Price]])/(2*Table1[[#This Row],[Ask Price]]*($AE$2^2))</f>
        <v>32.895844713298509</v>
      </c>
    </row>
    <row r="721" spans="1:32" x14ac:dyDescent="0.25">
      <c r="A721" s="21" t="s">
        <v>1484</v>
      </c>
      <c r="B721" s="3" t="s">
        <v>1485</v>
      </c>
      <c r="C721" s="3" t="s">
        <v>19</v>
      </c>
      <c r="D721" s="4">
        <v>41296</v>
      </c>
      <c r="E721" s="4">
        <v>46774</v>
      </c>
      <c r="F721" s="3">
        <v>1000</v>
      </c>
      <c r="G721" s="3" t="s">
        <v>20</v>
      </c>
      <c r="H721" s="3">
        <v>1075.1400000000001</v>
      </c>
      <c r="I721" s="3" t="s">
        <v>20</v>
      </c>
      <c r="J721" s="3">
        <v>107.514</v>
      </c>
      <c r="K721" s="3">
        <v>7950</v>
      </c>
      <c r="L721" s="5">
        <v>7.3599999999999999E-2</v>
      </c>
      <c r="M721" s="3" t="s">
        <v>21</v>
      </c>
      <c r="N721" s="3">
        <v>857</v>
      </c>
      <c r="O721" s="6">
        <f>Table1[[#This Row],[Current coupon %]]*Table1[[#This Row],[Face value]]/Table1[[#This Row],[Ask Price]]</f>
        <v>6.845620105288612E-2</v>
      </c>
      <c r="P721" s="3" t="s">
        <v>54</v>
      </c>
      <c r="Q721" s="3" t="s">
        <v>22</v>
      </c>
      <c r="R721">
        <f t="shared" si="11"/>
        <v>15</v>
      </c>
      <c r="S721" s="22" cm="1">
        <f t="array" ref="S721">_xlfn.IFS(Table1[[#This Row],[Coupon frequency]]="Semi-annual",2,Table1[[#This Row],[Coupon frequency]]="Quarterly",4,Table1[[#This Row],[Coupon frequency]]="Annual",1,Table1[[#This Row],[Coupon frequency]]="Every 4 months",3,Table1[[#This Row],[Coupon frequency]]="Monthly",12)</f>
        <v>1</v>
      </c>
      <c r="T721">
        <f>Table1[[#This Row],[Term to Maturity (Years)]]*Table1[[#This Row],[Coupon Frequency2]]</f>
        <v>15</v>
      </c>
      <c r="U721">
        <f>Table1[[#This Row],[Face value]]*Table1[[#This Row],[Current coupon %]]/Table1[[#This Row],[Coupon Frequency2]]</f>
        <v>73.599999999999994</v>
      </c>
      <c r="V721" s="23">
        <f>RATE(Table1[[#This Row],[Total No. of Coupons]],Table1[[#This Row],[Coupon Amount]],-Table1[[#This Row],[Ask Price]],Table1[[#This Row],[Face value]])</f>
        <v>6.5578906368682105E-2</v>
      </c>
      <c r="W721" s="24">
        <f>Table1[[#This Row],[IRR]]*Table1[[#This Row],[Coupon Frequency2]]</f>
        <v>6.5578906368682105E-2</v>
      </c>
      <c r="X721" s="25" cm="1">
        <f t="array" ref="X72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1" s="26">
        <f>DURATION(Table1[[#This Row],[Issue date]],Table1[[#This Row],[Maturity date]],Table1[[#This Row],[Current coupon %]],Table1[[#This Row],[Yield (Annualised)]],Table1[[#This Row],[Coupon Frequency2]])</f>
        <v>9.7619693656448288</v>
      </c>
      <c r="Z721" s="26">
        <f>Table1[[#This Row],[Macaulay Duration in Years]]/(1+Table1[[#This Row],[IRR]])</f>
        <v>9.1611886339905304</v>
      </c>
      <c r="AA721" s="27">
        <f>VLOOKUP(Table1[[#This Row],[Yield Cluster]],'[1]Cluster Details'!$B$3:$C$16,2,0)</f>
        <v>7.8548801574189142E-2</v>
      </c>
      <c r="AB721" s="28">
        <f>PRICE(Table1[[#This Row],[Issue date]],Table1[[#This Row],[Maturity date]],Table1[[#This Row],[Current coupon %]],Table1[[#This Row],[Average Cluster Yield]],100,Table1[[#This Row],[Coupon Frequency2]])*Table1[[#This Row],[Face value]]/100</f>
        <v>957.26289587555914</v>
      </c>
      <c r="AC721" s="27" t="str">
        <f>IF(Table1[[#This Row],[Ask Price]]&gt;Table1[[#This Row],[Calculated Bond Price]],"Rich","Cheap")</f>
        <v>Rich</v>
      </c>
      <c r="AD721" s="28">
        <f>PRICE(Table1[[#This Row],[Issue date]],Table1[[#This Row],[Maturity date]],Table1[[#This Row],[Current coupon %]],Table1[[#This Row],[Yield (Annualised)]]+$AE$2,100,Table1[[#This Row],[Coupon Frequency2]])*Table1[[#This Row],[Face value]]/100</f>
        <v>982.59458155924278</v>
      </c>
      <c r="AE721" s="28">
        <f>PRICE(Table1[[#This Row],[Issue date]],Table1[[#This Row],[Maturity date]],Table1[[#This Row],[Current coupon %]],Table1[[#This Row],[Yield (Annualised)]]-$AE$2,100,Table1[[#This Row],[Coupon Frequency2]])*Table1[[#This Row],[Face value]]/100</f>
        <v>1180.1942844990815</v>
      </c>
      <c r="AF721" s="28">
        <f>(Table1[[#This Row],[P (+ shock)]]+Table1[[#This Row],[P (-shock)]]-2*Table1[[#This Row],[Ask Price]])/(2*Table1[[#This Row],[Ask Price]]*($AE$2^2))</f>
        <v>58.173196320126685</v>
      </c>
    </row>
    <row r="722" spans="1:32" x14ac:dyDescent="0.25">
      <c r="A722" s="21" t="s">
        <v>1486</v>
      </c>
      <c r="B722" s="3" t="s">
        <v>1487</v>
      </c>
      <c r="C722" s="3" t="s">
        <v>19</v>
      </c>
      <c r="D722" s="4">
        <v>42451</v>
      </c>
      <c r="E722" s="4">
        <v>46103</v>
      </c>
      <c r="F722" s="3">
        <v>1000</v>
      </c>
      <c r="G722" s="3" t="s">
        <v>20</v>
      </c>
      <c r="H722" s="3">
        <v>1065</v>
      </c>
      <c r="I722" s="3" t="s">
        <v>20</v>
      </c>
      <c r="J722" s="3">
        <v>106.5</v>
      </c>
      <c r="K722" s="3">
        <v>200</v>
      </c>
      <c r="L722" s="5">
        <v>7.2900000000000006E-2</v>
      </c>
      <c r="M722" s="3" t="s">
        <v>21</v>
      </c>
      <c r="N722" s="3">
        <v>186</v>
      </c>
      <c r="O722" s="6">
        <f>Table1[[#This Row],[Current coupon %]]*Table1[[#This Row],[Face value]]/Table1[[#This Row],[Ask Price]]</f>
        <v>6.8450704225352113E-2</v>
      </c>
      <c r="P722" s="3" t="s">
        <v>297</v>
      </c>
      <c r="Q722" s="3" t="s">
        <v>22</v>
      </c>
      <c r="R722">
        <f t="shared" si="11"/>
        <v>10</v>
      </c>
      <c r="S722" s="22" cm="1">
        <f t="array" ref="S722">_xlfn.IFS(Table1[[#This Row],[Coupon frequency]]="Semi-annual",2,Table1[[#This Row],[Coupon frequency]]="Quarterly",4,Table1[[#This Row],[Coupon frequency]]="Annual",1,Table1[[#This Row],[Coupon frequency]]="Every 4 months",3,Table1[[#This Row],[Coupon frequency]]="Monthly",12)</f>
        <v>1</v>
      </c>
      <c r="T722">
        <f>Table1[[#This Row],[Term to Maturity (Years)]]*Table1[[#This Row],[Coupon Frequency2]]</f>
        <v>10</v>
      </c>
      <c r="U722">
        <f>Table1[[#This Row],[Face value]]*Table1[[#This Row],[Current coupon %]]/Table1[[#This Row],[Coupon Frequency2]]</f>
        <v>72.900000000000006</v>
      </c>
      <c r="V722" s="23">
        <f>RATE(Table1[[#This Row],[Total No. of Coupons]],Table1[[#This Row],[Coupon Amount]],-Table1[[#This Row],[Ask Price]],Table1[[#This Row],[Face value]])</f>
        <v>6.3904493038013016E-2</v>
      </c>
      <c r="W722" s="24">
        <f>Table1[[#This Row],[IRR]]*Table1[[#This Row],[Coupon Frequency2]]</f>
        <v>6.3904493038013016E-2</v>
      </c>
      <c r="X722" s="25" cm="1">
        <f t="array" ref="X72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2" s="26">
        <f>DURATION(Table1[[#This Row],[Issue date]],Table1[[#This Row],[Maturity date]],Table1[[#This Row],[Current coupon %]],Table1[[#This Row],[Yield (Annualised)]],Table1[[#This Row],[Coupon Frequency2]])</f>
        <v>7.5230862050698386</v>
      </c>
      <c r="Z722" s="26">
        <f>Table1[[#This Row],[Macaulay Duration in Years]]/(1+Table1[[#This Row],[IRR]])</f>
        <v>7.0712044683516915</v>
      </c>
      <c r="AA722" s="27">
        <f>VLOOKUP(Table1[[#This Row],[Yield Cluster]],'[1]Cluster Details'!$B$3:$C$16,2,0)</f>
        <v>7.8548801574189142E-2</v>
      </c>
      <c r="AB722" s="28">
        <f>PRICE(Table1[[#This Row],[Issue date]],Table1[[#This Row],[Maturity date]],Table1[[#This Row],[Current coupon %]],Table1[[#This Row],[Average Cluster Yield]],100,Table1[[#This Row],[Coupon Frequency2]])*Table1[[#This Row],[Face value]]/100</f>
        <v>961.84671989328842</v>
      </c>
      <c r="AC722" s="27" t="str">
        <f>IF(Table1[[#This Row],[Ask Price]]&gt;Table1[[#This Row],[Calculated Bond Price]],"Rich","Cheap")</f>
        <v>Rich</v>
      </c>
      <c r="AD722" s="28">
        <f>PRICE(Table1[[#This Row],[Issue date]],Table1[[#This Row],[Maturity date]],Table1[[#This Row],[Current coupon %]],Table1[[#This Row],[Yield (Annualised)]]+$AE$2,100,Table1[[#This Row],[Coupon Frequency2]])*Table1[[#This Row],[Face value]]/100</f>
        <v>993.07045579834949</v>
      </c>
      <c r="AE722" s="28">
        <f>PRICE(Table1[[#This Row],[Issue date]],Table1[[#This Row],[Maturity date]],Table1[[#This Row],[Current coupon %]],Table1[[#This Row],[Yield (Annualised)]]-$AE$2,100,Table1[[#This Row],[Coupon Frequency2]])*Table1[[#This Row],[Face value]]/100</f>
        <v>1143.9364023792557</v>
      </c>
      <c r="AF722" s="28">
        <f>(Table1[[#This Row],[P (+ shock)]]+Table1[[#This Row],[P (-shock)]]-2*Table1[[#This Row],[Ask Price]])/(2*Table1[[#This Row],[Ask Price]]*($AE$2^2))</f>
        <v>32.896047782182883</v>
      </c>
    </row>
    <row r="723" spans="1:32" x14ac:dyDescent="0.25">
      <c r="A723" s="21" t="s">
        <v>1488</v>
      </c>
      <c r="B723" s="3" t="s">
        <v>1489</v>
      </c>
      <c r="C723" s="3" t="s">
        <v>19</v>
      </c>
      <c r="D723" s="4">
        <v>41590</v>
      </c>
      <c r="E723" s="4">
        <v>48895</v>
      </c>
      <c r="F723" s="3">
        <v>1000</v>
      </c>
      <c r="G723" s="3" t="s">
        <v>20</v>
      </c>
      <c r="H723" s="3">
        <v>1278.45</v>
      </c>
      <c r="I723" s="3" t="s">
        <v>20</v>
      </c>
      <c r="J723" s="3">
        <v>127.845</v>
      </c>
      <c r="K723" s="3">
        <v>25</v>
      </c>
      <c r="L723" s="5">
        <v>8.7499999999999994E-2</v>
      </c>
      <c r="M723" s="3" t="s">
        <v>21</v>
      </c>
      <c r="N723" s="3">
        <v>2978</v>
      </c>
      <c r="O723" s="6">
        <f>Table1[[#This Row],[Current coupon %]]*Table1[[#This Row],[Face value]]/Table1[[#This Row],[Ask Price]]</f>
        <v>6.8442254292307089E-2</v>
      </c>
      <c r="P723" s="3" t="s">
        <v>54</v>
      </c>
      <c r="Q723" s="3" t="s">
        <v>22</v>
      </c>
      <c r="R723">
        <f t="shared" si="11"/>
        <v>20</v>
      </c>
      <c r="S723" s="22" cm="1">
        <f t="array" ref="S723">_xlfn.IFS(Table1[[#This Row],[Coupon frequency]]="Semi-annual",2,Table1[[#This Row],[Coupon frequency]]="Quarterly",4,Table1[[#This Row],[Coupon frequency]]="Annual",1,Table1[[#This Row],[Coupon frequency]]="Every 4 months",3,Table1[[#This Row],[Coupon frequency]]="Monthly",12)</f>
        <v>1</v>
      </c>
      <c r="T723">
        <f>Table1[[#This Row],[Term to Maturity (Years)]]*Table1[[#This Row],[Coupon Frequency2]]</f>
        <v>20</v>
      </c>
      <c r="U723">
        <f>Table1[[#This Row],[Face value]]*Table1[[#This Row],[Current coupon %]]/Table1[[#This Row],[Coupon Frequency2]]</f>
        <v>87.5</v>
      </c>
      <c r="V723" s="23">
        <f>RATE(Table1[[#This Row],[Total No. of Coupons]],Table1[[#This Row],[Coupon Amount]],-Table1[[#This Row],[Ask Price]],Table1[[#This Row],[Face value]])</f>
        <v>6.2690540634813538E-2</v>
      </c>
      <c r="W723" s="24">
        <f>Table1[[#This Row],[IRR]]*Table1[[#This Row],[Coupon Frequency2]]</f>
        <v>6.2690540634813538E-2</v>
      </c>
      <c r="X723" s="25" cm="1">
        <f t="array" ref="X72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3" s="26">
        <f>DURATION(Table1[[#This Row],[Issue date]],Table1[[#This Row],[Maturity date]],Table1[[#This Row],[Current coupon %]],Table1[[#This Row],[Yield (Annualised)]],Table1[[#This Row],[Coupon Frequency2]])</f>
        <v>11.186486146622487</v>
      </c>
      <c r="Z723" s="26">
        <f>Table1[[#This Row],[Macaulay Duration in Years]]/(1+Table1[[#This Row],[IRR]])</f>
        <v>10.526569795135353</v>
      </c>
      <c r="AA723" s="27">
        <f>VLOOKUP(Table1[[#This Row],[Yield Cluster]],'[1]Cluster Details'!$B$3:$C$16,2,0)</f>
        <v>7.8548801574189142E-2</v>
      </c>
      <c r="AB723" s="28">
        <f>PRICE(Table1[[#This Row],[Issue date]],Table1[[#This Row],[Maturity date]],Table1[[#This Row],[Current coupon %]],Table1[[#This Row],[Average Cluster Yield]],100,Table1[[#This Row],[Coupon Frequency2]])*Table1[[#This Row],[Face value]]/100</f>
        <v>1088.8414423435356</v>
      </c>
      <c r="AC723" s="27" t="str">
        <f>IF(Table1[[#This Row],[Ask Price]]&gt;Table1[[#This Row],[Calculated Bond Price]],"Rich","Cheap")</f>
        <v>Rich</v>
      </c>
      <c r="AD723" s="28">
        <f>PRICE(Table1[[#This Row],[Issue date]],Table1[[#This Row],[Maturity date]],Table1[[#This Row],[Current coupon %]],Table1[[#This Row],[Yield (Annualised)]]+$AE$2,100,Table1[[#This Row],[Coupon Frequency2]])*Table1[[#This Row],[Face value]]/100</f>
        <v>1153.6635763506865</v>
      </c>
      <c r="AE723" s="28">
        <f>PRICE(Table1[[#This Row],[Issue date]],Table1[[#This Row],[Maturity date]],Table1[[#This Row],[Current coupon %]],Table1[[#This Row],[Yield (Annualised)]]-$AE$2,100,Table1[[#This Row],[Coupon Frequency2]])*Table1[[#This Row],[Face value]]/100</f>
        <v>1424.0747820875811</v>
      </c>
      <c r="AF723" s="28">
        <f>(Table1[[#This Row],[P (+ shock)]]+Table1[[#This Row],[P (-shock)]]-2*Table1[[#This Row],[Ask Price]])/(2*Table1[[#This Row],[Ask Price]]*($AE$2^2))</f>
        <v>81.498527272352192</v>
      </c>
    </row>
    <row r="724" spans="1:32" x14ac:dyDescent="0.25">
      <c r="A724" s="21" t="s">
        <v>1490</v>
      </c>
      <c r="B724" s="3" t="s">
        <v>1491</v>
      </c>
      <c r="C724" s="3" t="s">
        <v>19</v>
      </c>
      <c r="D724" s="4">
        <v>45800</v>
      </c>
      <c r="E724" s="4">
        <v>49795</v>
      </c>
      <c r="F724" s="3">
        <v>100000</v>
      </c>
      <c r="G724" s="3" t="s">
        <v>20</v>
      </c>
      <c r="H724" s="3">
        <v>99589</v>
      </c>
      <c r="I724" s="3" t="s">
        <v>20</v>
      </c>
      <c r="J724" s="3">
        <v>99.588999999999999</v>
      </c>
      <c r="K724" s="3">
        <v>500</v>
      </c>
      <c r="L724" s="5">
        <v>6.8099999999999994E-2</v>
      </c>
      <c r="M724" s="3" t="s">
        <v>21</v>
      </c>
      <c r="N724" s="3">
        <v>3878</v>
      </c>
      <c r="O724" s="6">
        <f>Table1[[#This Row],[Current coupon %]]*Table1[[#This Row],[Face value]]/Table1[[#This Row],[Ask Price]]</f>
        <v>6.8381046099468809E-2</v>
      </c>
      <c r="P724" s="3"/>
      <c r="Q724" s="3" t="s">
        <v>22</v>
      </c>
      <c r="R724">
        <f t="shared" si="11"/>
        <v>11</v>
      </c>
      <c r="S724" s="22" cm="1">
        <f t="array" ref="S724">_xlfn.IFS(Table1[[#This Row],[Coupon frequency]]="Semi-annual",2,Table1[[#This Row],[Coupon frequency]]="Quarterly",4,Table1[[#This Row],[Coupon frequency]]="Annual",1,Table1[[#This Row],[Coupon frequency]]="Every 4 months",3,Table1[[#This Row],[Coupon frequency]]="Monthly",12)</f>
        <v>1</v>
      </c>
      <c r="T724">
        <f>Table1[[#This Row],[Term to Maturity (Years)]]*Table1[[#This Row],[Coupon Frequency2]]</f>
        <v>11</v>
      </c>
      <c r="U724">
        <f>Table1[[#This Row],[Face value]]*Table1[[#This Row],[Current coupon %]]/Table1[[#This Row],[Coupon Frequency2]]</f>
        <v>6809.9999999999991</v>
      </c>
      <c r="V724" s="23">
        <f>RATE(Table1[[#This Row],[Total No. of Coupons]],Table1[[#This Row],[Coupon Amount]],-Table1[[#This Row],[Ask Price]],Table1[[#This Row],[Face value]])</f>
        <v>6.8644401908051933E-2</v>
      </c>
      <c r="W724" s="24">
        <f>Table1[[#This Row],[IRR]]*Table1[[#This Row],[Coupon Frequency2]]</f>
        <v>6.8644401908051933E-2</v>
      </c>
      <c r="X724" s="25" cm="1">
        <f t="array" ref="X72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4" s="26">
        <f>DURATION(Table1[[#This Row],[Issue date]],Table1[[#This Row],[Maturity date]],Table1[[#This Row],[Current coupon %]],Table1[[#This Row],[Yield (Annualised)]],Table1[[#This Row],[Coupon Frequency2]])</f>
        <v>8.015165646457584</v>
      </c>
      <c r="Z724" s="26">
        <f>Table1[[#This Row],[Macaulay Duration in Years]]/(1+Table1[[#This Row],[IRR]])</f>
        <v>7.5003112655122708</v>
      </c>
      <c r="AA724" s="27">
        <f>VLOOKUP(Table1[[#This Row],[Yield Cluster]],'[1]Cluster Details'!$B$3:$C$16,2,0)</f>
        <v>7.8548801574189142E-2</v>
      </c>
      <c r="AB724" s="28">
        <f>PRICE(Table1[[#This Row],[Issue date]],Table1[[#This Row],[Maturity date]],Table1[[#This Row],[Current coupon %]],Table1[[#This Row],[Average Cluster Yield]],100,Table1[[#This Row],[Coupon Frequency2]])*Table1[[#This Row],[Face value]]/100</f>
        <v>92500.646156499541</v>
      </c>
      <c r="AC724" s="27" t="str">
        <f>IF(Table1[[#This Row],[Ask Price]]&gt;Table1[[#This Row],[Calculated Bond Price]],"Rich","Cheap")</f>
        <v>Rich</v>
      </c>
      <c r="AD724" s="28">
        <f>PRICE(Table1[[#This Row],[Issue date]],Table1[[#This Row],[Maturity date]],Table1[[#This Row],[Current coupon %]],Table1[[#This Row],[Yield (Annualised)]]+$AE$2,100,Table1[[#This Row],[Coupon Frequency2]])*Table1[[#This Row],[Face value]]/100</f>
        <v>92435.652609401004</v>
      </c>
      <c r="AE724" s="28">
        <f>PRICE(Table1[[#This Row],[Issue date]],Table1[[#This Row],[Maturity date]],Table1[[#This Row],[Current coupon %]],Table1[[#This Row],[Yield (Annualised)]]-$AE$2,100,Table1[[#This Row],[Coupon Frequency2]])*Table1[[#This Row],[Face value]]/100</f>
        <v>107466.55843500662</v>
      </c>
      <c r="AF724" s="28">
        <f>(Table1[[#This Row],[P (+ shock)]]+Table1[[#This Row],[P (-shock)]]-2*Table1[[#This Row],[Ask Price]])/(2*Table1[[#This Row],[Ask Price]]*($AE$2^2))</f>
        <v>36.359991786624242</v>
      </c>
    </row>
    <row r="725" spans="1:32" x14ac:dyDescent="0.25">
      <c r="A725" s="21" t="s">
        <v>1492</v>
      </c>
      <c r="B725" s="3" t="s">
        <v>1493</v>
      </c>
      <c r="C725" s="3" t="s">
        <v>19</v>
      </c>
      <c r="D725" s="4">
        <v>42313</v>
      </c>
      <c r="E725" s="4">
        <v>45966</v>
      </c>
      <c r="F725" s="3">
        <v>1000</v>
      </c>
      <c r="G725" s="3" t="s">
        <v>20</v>
      </c>
      <c r="H725" s="3">
        <v>1050.21</v>
      </c>
      <c r="I725" s="3" t="s">
        <v>20</v>
      </c>
      <c r="J725" s="3">
        <v>105.021</v>
      </c>
      <c r="K725" s="3">
        <v>1</v>
      </c>
      <c r="L725" s="5">
        <v>7.1399999999999991E-2</v>
      </c>
      <c r="M725" s="3" t="s">
        <v>21</v>
      </c>
      <c r="N725" s="3">
        <v>49</v>
      </c>
      <c r="O725" s="6">
        <f>Table1[[#This Row],[Current coupon %]]*Table1[[#This Row],[Face value]]/Table1[[#This Row],[Ask Price]]</f>
        <v>6.7986402719456093E-2</v>
      </c>
      <c r="P725" s="3"/>
      <c r="Q725" s="3" t="s">
        <v>22</v>
      </c>
      <c r="R725">
        <f t="shared" si="11"/>
        <v>10</v>
      </c>
      <c r="S725" s="22" cm="1">
        <f t="array" ref="S725">_xlfn.IFS(Table1[[#This Row],[Coupon frequency]]="Semi-annual",2,Table1[[#This Row],[Coupon frequency]]="Quarterly",4,Table1[[#This Row],[Coupon frequency]]="Annual",1,Table1[[#This Row],[Coupon frequency]]="Every 4 months",3,Table1[[#This Row],[Coupon frequency]]="Monthly",12)</f>
        <v>1</v>
      </c>
      <c r="T725">
        <f>Table1[[#This Row],[Term to Maturity (Years)]]*Table1[[#This Row],[Coupon Frequency2]]</f>
        <v>10</v>
      </c>
      <c r="U725">
        <f>Table1[[#This Row],[Face value]]*Table1[[#This Row],[Current coupon %]]/Table1[[#This Row],[Coupon Frequency2]]</f>
        <v>71.399999999999991</v>
      </c>
      <c r="V725" s="23">
        <f>RATE(Table1[[#This Row],[Total No. of Coupons]],Table1[[#This Row],[Coupon Amount]],-Table1[[#This Row],[Ask Price]],Table1[[#This Row],[Face value]])</f>
        <v>6.4434040404397486E-2</v>
      </c>
      <c r="W725" s="24">
        <f>Table1[[#This Row],[IRR]]*Table1[[#This Row],[Coupon Frequency2]]</f>
        <v>6.4434040404397486E-2</v>
      </c>
      <c r="X725" s="25" cm="1">
        <f t="array" ref="X72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5" s="26">
        <f>DURATION(Table1[[#This Row],[Issue date]],Table1[[#This Row],[Maturity date]],Table1[[#This Row],[Current coupon %]],Table1[[#This Row],[Yield (Annualised)]],Table1[[#This Row],[Coupon Frequency2]])</f>
        <v>7.544015440139729</v>
      </c>
      <c r="Z725" s="26">
        <f>Table1[[#This Row],[Macaulay Duration in Years]]/(1+Table1[[#This Row],[IRR]])</f>
        <v>7.0873489138637682</v>
      </c>
      <c r="AA725" s="27">
        <f>VLOOKUP(Table1[[#This Row],[Yield Cluster]],'[1]Cluster Details'!$B$3:$C$16,2,0)</f>
        <v>7.8548801574189142E-2</v>
      </c>
      <c r="AB725" s="28">
        <f>PRICE(Table1[[#This Row],[Issue date]],Table1[[#This Row],[Maturity date]],Table1[[#This Row],[Current coupon %]],Table1[[#This Row],[Average Cluster Yield]],100,Table1[[#This Row],[Coupon Frequency2]])*Table1[[#This Row],[Face value]]/100</f>
        <v>951.7153815185136</v>
      </c>
      <c r="AC725" s="27" t="str">
        <f>IF(Table1[[#This Row],[Ask Price]]&gt;Table1[[#This Row],[Calculated Bond Price]],"Rich","Cheap")</f>
        <v>Rich</v>
      </c>
      <c r="AD725" s="28">
        <f>PRICE(Table1[[#This Row],[Issue date]],Table1[[#This Row],[Maturity date]],Table1[[#This Row],[Current coupon %]],Table1[[#This Row],[Yield (Annualised)]]+$AE$2,100,Table1[[#This Row],[Coupon Frequency2]])*Table1[[#This Row],[Face value]]/100</f>
        <v>979.12017524714975</v>
      </c>
      <c r="AE725" s="28">
        <f>PRICE(Table1[[#This Row],[Issue date]],Table1[[#This Row],[Maturity date]],Table1[[#This Row],[Current coupon %]],Table1[[#This Row],[Yield (Annualised)]]-$AE$2,100,Table1[[#This Row],[Coupon Frequency2]])*Table1[[#This Row],[Face value]]/100</f>
        <v>1128.2309317420597</v>
      </c>
      <c r="AF725" s="28">
        <f>(Table1[[#This Row],[P (+ shock)]]+Table1[[#This Row],[P (-shock)]]-2*Table1[[#This Row],[Ask Price]])/(2*Table1[[#This Row],[Ask Price]]*($AE$2^2))</f>
        <v>32.998671642858014</v>
      </c>
    </row>
    <row r="726" spans="1:32" x14ac:dyDescent="0.25">
      <c r="A726" s="21" t="s">
        <v>1494</v>
      </c>
      <c r="B726" s="3" t="s">
        <v>1495</v>
      </c>
      <c r="C726" s="3" t="s">
        <v>19</v>
      </c>
      <c r="D726" s="4">
        <v>41278</v>
      </c>
      <c r="E726" s="4">
        <v>46756</v>
      </c>
      <c r="F726" s="3">
        <v>1000</v>
      </c>
      <c r="G726" s="3" t="s">
        <v>20</v>
      </c>
      <c r="H726" s="3">
        <v>1084</v>
      </c>
      <c r="I726" s="3" t="s">
        <v>20</v>
      </c>
      <c r="J726" s="3">
        <v>108.4</v>
      </c>
      <c r="K726" s="3">
        <v>1000</v>
      </c>
      <c r="L726" s="5">
        <v>7.3599999999999999E-2</v>
      </c>
      <c r="M726" s="3" t="s">
        <v>21</v>
      </c>
      <c r="N726" s="3">
        <v>839</v>
      </c>
      <c r="O726" s="6">
        <f>Table1[[#This Row],[Current coupon %]]*Table1[[#This Row],[Face value]]/Table1[[#This Row],[Ask Price]]</f>
        <v>6.7896678966789664E-2</v>
      </c>
      <c r="P726" s="3" t="s">
        <v>54</v>
      </c>
      <c r="Q726" s="3" t="s">
        <v>22</v>
      </c>
      <c r="R726">
        <f t="shared" si="11"/>
        <v>15</v>
      </c>
      <c r="S726" s="22" cm="1">
        <f t="array" ref="S726">_xlfn.IFS(Table1[[#This Row],[Coupon frequency]]="Semi-annual",2,Table1[[#This Row],[Coupon frequency]]="Quarterly",4,Table1[[#This Row],[Coupon frequency]]="Annual",1,Table1[[#This Row],[Coupon frequency]]="Every 4 months",3,Table1[[#This Row],[Coupon frequency]]="Monthly",12)</f>
        <v>1</v>
      </c>
      <c r="T726">
        <f>Table1[[#This Row],[Term to Maturity (Years)]]*Table1[[#This Row],[Coupon Frequency2]]</f>
        <v>15</v>
      </c>
      <c r="U726">
        <f>Table1[[#This Row],[Face value]]*Table1[[#This Row],[Current coupon %]]/Table1[[#This Row],[Coupon Frequency2]]</f>
        <v>73.599999999999994</v>
      </c>
      <c r="V726" s="23">
        <f>RATE(Table1[[#This Row],[Total No. of Coupons]],Table1[[#This Row],[Coupon Amount]],-Table1[[#This Row],[Ask Price]],Table1[[#This Row],[Face value]])</f>
        <v>6.4684466215731956E-2</v>
      </c>
      <c r="W726" s="24">
        <f>Table1[[#This Row],[IRR]]*Table1[[#This Row],[Coupon Frequency2]]</f>
        <v>6.4684466215731956E-2</v>
      </c>
      <c r="X726" s="25" cm="1">
        <f t="array" ref="X72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6" s="26">
        <f>DURATION(Table1[[#This Row],[Issue date]],Table1[[#This Row],[Maturity date]],Table1[[#This Row],[Current coupon %]],Table1[[#This Row],[Yield (Annualised)]],Table1[[#This Row],[Coupon Frequency2]])</f>
        <v>9.7844498989294184</v>
      </c>
      <c r="Z726" s="26">
        <f>Table1[[#This Row],[Macaulay Duration in Years]]/(1+Table1[[#This Row],[IRR]])</f>
        <v>9.1899996754032109</v>
      </c>
      <c r="AA726" s="27">
        <f>VLOOKUP(Table1[[#This Row],[Yield Cluster]],'[1]Cluster Details'!$B$3:$C$16,2,0)</f>
        <v>7.8548801574189142E-2</v>
      </c>
      <c r="AB726" s="28">
        <f>PRICE(Table1[[#This Row],[Issue date]],Table1[[#This Row],[Maturity date]],Table1[[#This Row],[Current coupon %]],Table1[[#This Row],[Average Cluster Yield]],100,Table1[[#This Row],[Coupon Frequency2]])*Table1[[#This Row],[Face value]]/100</f>
        <v>957.26289587555914</v>
      </c>
      <c r="AC726" s="27" t="str">
        <f>IF(Table1[[#This Row],[Ask Price]]&gt;Table1[[#This Row],[Calculated Bond Price]],"Rich","Cheap")</f>
        <v>Rich</v>
      </c>
      <c r="AD726" s="28">
        <f>PRICE(Table1[[#This Row],[Issue date]],Table1[[#This Row],[Maturity date]],Table1[[#This Row],[Current coupon %]],Table1[[#This Row],[Yield (Annualised)]]+$AE$2,100,Table1[[#This Row],[Coupon Frequency2]])*Table1[[#This Row],[Face value]]/100</f>
        <v>990.40850064823314</v>
      </c>
      <c r="AE726" s="28">
        <f>PRICE(Table1[[#This Row],[Issue date]],Table1[[#This Row],[Maturity date]],Table1[[#This Row],[Current coupon %]],Table1[[#This Row],[Yield (Annualised)]]-$AE$2,100,Table1[[#This Row],[Coupon Frequency2]])*Table1[[#This Row],[Face value]]/100</f>
        <v>1190.2649705946858</v>
      </c>
      <c r="AF726" s="28">
        <f>(Table1[[#This Row],[P (+ shock)]]+Table1[[#This Row],[P (-shock)]]-2*Table1[[#This Row],[Ask Price]])/(2*Table1[[#This Row],[Ask Price]]*($AE$2^2))</f>
        <v>58.456970677669837</v>
      </c>
    </row>
    <row r="727" spans="1:32" x14ac:dyDescent="0.25">
      <c r="A727" s="21" t="s">
        <v>1496</v>
      </c>
      <c r="B727" s="3" t="s">
        <v>1497</v>
      </c>
      <c r="C727" s="3" t="s">
        <v>19</v>
      </c>
      <c r="D727" s="4">
        <v>42452</v>
      </c>
      <c r="E727" s="4">
        <v>47930</v>
      </c>
      <c r="F727" s="3">
        <v>1000</v>
      </c>
      <c r="G727" s="3" t="s">
        <v>20</v>
      </c>
      <c r="H727" s="3">
        <v>1125.83</v>
      </c>
      <c r="I727" s="3" t="s">
        <v>20</v>
      </c>
      <c r="J727" s="3">
        <v>112.582999999999</v>
      </c>
      <c r="K727" s="3">
        <v>19</v>
      </c>
      <c r="L727" s="5">
        <v>7.6399999999999996E-2</v>
      </c>
      <c r="M727" s="3" t="s">
        <v>21</v>
      </c>
      <c r="N727" s="3">
        <v>2013</v>
      </c>
      <c r="O727" s="6">
        <f>Table1[[#This Row],[Current coupon %]]*Table1[[#This Row],[Face value]]/Table1[[#This Row],[Ask Price]]</f>
        <v>6.7861044740324908E-2</v>
      </c>
      <c r="P727" s="3"/>
      <c r="Q727" s="3" t="s">
        <v>22</v>
      </c>
      <c r="R727">
        <f t="shared" si="11"/>
        <v>15</v>
      </c>
      <c r="S727" s="22" cm="1">
        <f t="array" ref="S727">_xlfn.IFS(Table1[[#This Row],[Coupon frequency]]="Semi-annual",2,Table1[[#This Row],[Coupon frequency]]="Quarterly",4,Table1[[#This Row],[Coupon frequency]]="Annual",1,Table1[[#This Row],[Coupon frequency]]="Every 4 months",3,Table1[[#This Row],[Coupon frequency]]="Monthly",12)</f>
        <v>1</v>
      </c>
      <c r="T727">
        <f>Table1[[#This Row],[Term to Maturity (Years)]]*Table1[[#This Row],[Coupon Frequency2]]</f>
        <v>15</v>
      </c>
      <c r="U727">
        <f>Table1[[#This Row],[Face value]]*Table1[[#This Row],[Current coupon %]]/Table1[[#This Row],[Coupon Frequency2]]</f>
        <v>76.399999999999991</v>
      </c>
      <c r="V727" s="23">
        <f>RATE(Table1[[#This Row],[Total No. of Coupons]],Table1[[#This Row],[Coupon Amount]],-Table1[[#This Row],[Ask Price]],Table1[[#This Row],[Face value]])</f>
        <v>6.3174160314685451E-2</v>
      </c>
      <c r="W727" s="24">
        <f>Table1[[#This Row],[IRR]]*Table1[[#This Row],[Coupon Frequency2]]</f>
        <v>6.3174160314685451E-2</v>
      </c>
      <c r="X727" s="25" cm="1">
        <f t="array" ref="X72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7" s="26">
        <f>DURATION(Table1[[#This Row],[Issue date]],Table1[[#This Row],[Maturity date]],Table1[[#This Row],[Current coupon %]],Table1[[#This Row],[Yield (Annualised)]],Table1[[#This Row],[Coupon Frequency2]])</f>
        <v>9.7525690490755252</v>
      </c>
      <c r="Z727" s="26">
        <f>Table1[[#This Row],[Macaulay Duration in Years]]/(1+Table1[[#This Row],[IRR]])</f>
        <v>9.1730681699307812</v>
      </c>
      <c r="AA727" s="27">
        <f>VLOOKUP(Table1[[#This Row],[Yield Cluster]],'[1]Cluster Details'!$B$3:$C$16,2,0)</f>
        <v>7.8548801574189142E-2</v>
      </c>
      <c r="AB727" s="28">
        <f>PRICE(Table1[[#This Row],[Issue date]],Table1[[#This Row],[Maturity date]],Table1[[#This Row],[Current coupon %]],Table1[[#This Row],[Average Cluster Yield]],100,Table1[[#This Row],[Coupon Frequency2]])*Table1[[#This Row],[Face value]]/100</f>
        <v>981.44327364066351</v>
      </c>
      <c r="AC727" s="27" t="str">
        <f>IF(Table1[[#This Row],[Ask Price]]&gt;Table1[[#This Row],[Calculated Bond Price]],"Rich","Cheap")</f>
        <v>Rich</v>
      </c>
      <c r="AD727" s="28">
        <f>PRICE(Table1[[#This Row],[Issue date]],Table1[[#This Row],[Maturity date]],Table1[[#This Row],[Current coupon %]],Table1[[#This Row],[Yield (Annualised)]]+$AE$2,100,Table1[[#This Row],[Coupon Frequency2]])*Table1[[#This Row],[Face value]]/100</f>
        <v>1028.8005896689892</v>
      </c>
      <c r="AE727" s="28">
        <f>PRICE(Table1[[#This Row],[Issue date]],Table1[[#This Row],[Maturity date]],Table1[[#This Row],[Current coupon %]],Table1[[#This Row],[Yield (Annualised)]]-$AE$2,100,Table1[[#This Row],[Coupon Frequency2]])*Table1[[#This Row],[Face value]]/100</f>
        <v>1235.9861676531089</v>
      </c>
      <c r="AF727" s="28">
        <f>(Table1[[#This Row],[P (+ shock)]]+Table1[[#This Row],[P (-shock)]]-2*Table1[[#This Row],[Ask Price]])/(2*Table1[[#This Row],[Ask Price]]*($AE$2^2))</f>
        <v>58.298132587062234</v>
      </c>
    </row>
    <row r="728" spans="1:32" x14ac:dyDescent="0.25">
      <c r="A728" s="21" t="s">
        <v>1498</v>
      </c>
      <c r="B728" s="3" t="s">
        <v>1499</v>
      </c>
      <c r="C728" s="3" t="s">
        <v>19</v>
      </c>
      <c r="D728" s="4">
        <v>41624</v>
      </c>
      <c r="E728" s="4">
        <v>48929</v>
      </c>
      <c r="F728" s="3">
        <v>1000</v>
      </c>
      <c r="G728" s="3" t="s">
        <v>20</v>
      </c>
      <c r="H728" s="3">
        <v>1314</v>
      </c>
      <c r="I728" s="3" t="s">
        <v>20</v>
      </c>
      <c r="J728" s="3">
        <v>131.4</v>
      </c>
      <c r="K728" s="3">
        <v>107</v>
      </c>
      <c r="L728" s="5">
        <v>8.9099999999999999E-2</v>
      </c>
      <c r="M728" s="3" t="s">
        <v>21</v>
      </c>
      <c r="N728" s="3">
        <v>3012</v>
      </c>
      <c r="O728" s="6">
        <f>Table1[[#This Row],[Current coupon %]]*Table1[[#This Row],[Face value]]/Table1[[#This Row],[Ask Price]]</f>
        <v>6.7808219178082191E-2</v>
      </c>
      <c r="P728" s="3" t="s">
        <v>297</v>
      </c>
      <c r="Q728" s="3" t="s">
        <v>22</v>
      </c>
      <c r="R728">
        <f t="shared" si="11"/>
        <v>20</v>
      </c>
      <c r="S728" s="22" cm="1">
        <f t="array" ref="S728">_xlfn.IFS(Table1[[#This Row],[Coupon frequency]]="Semi-annual",2,Table1[[#This Row],[Coupon frequency]]="Quarterly",4,Table1[[#This Row],[Coupon frequency]]="Annual",1,Table1[[#This Row],[Coupon frequency]]="Every 4 months",3,Table1[[#This Row],[Coupon frequency]]="Monthly",12)</f>
        <v>1</v>
      </c>
      <c r="T728">
        <f>Table1[[#This Row],[Term to Maturity (Years)]]*Table1[[#This Row],[Coupon Frequency2]]</f>
        <v>20</v>
      </c>
      <c r="U728">
        <f>Table1[[#This Row],[Face value]]*Table1[[#This Row],[Current coupon %]]/Table1[[#This Row],[Coupon Frequency2]]</f>
        <v>89.1</v>
      </c>
      <c r="V728" s="23">
        <f>RATE(Table1[[#This Row],[Total No. of Coupons]],Table1[[#This Row],[Coupon Amount]],-Table1[[#This Row],[Ask Price]],Table1[[#This Row],[Face value]])</f>
        <v>6.140988689834663E-2</v>
      </c>
      <c r="W728" s="24">
        <f>Table1[[#This Row],[IRR]]*Table1[[#This Row],[Coupon Frequency2]]</f>
        <v>6.140988689834663E-2</v>
      </c>
      <c r="X728" s="25" cm="1">
        <f t="array" ref="X72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8" s="26">
        <f>DURATION(Table1[[#This Row],[Issue date]],Table1[[#This Row],[Maturity date]],Table1[[#This Row],[Current coupon %]],Table1[[#This Row],[Yield (Annualised)]],Table1[[#This Row],[Coupon Frequency2]])</f>
        <v>11.20640572264427</v>
      </c>
      <c r="Z728" s="26">
        <f>Table1[[#This Row],[Macaulay Duration in Years]]/(1+Table1[[#This Row],[IRR]])</f>
        <v>10.558037814582304</v>
      </c>
      <c r="AA728" s="27">
        <f>VLOOKUP(Table1[[#This Row],[Yield Cluster]],'[1]Cluster Details'!$B$3:$C$16,2,0)</f>
        <v>7.8548801574189142E-2</v>
      </c>
      <c r="AB728" s="28">
        <f>PRICE(Table1[[#This Row],[Issue date]],Table1[[#This Row],[Maturity date]],Table1[[#This Row],[Current coupon %]],Table1[[#This Row],[Average Cluster Yield]],100,Table1[[#This Row],[Coupon Frequency2]])*Table1[[#This Row],[Face value]]/100</f>
        <v>1104.7215849778195</v>
      </c>
      <c r="AC728" s="27" t="str">
        <f>IF(Table1[[#This Row],[Ask Price]]&gt;Table1[[#This Row],[Calculated Bond Price]],"Rich","Cheap")</f>
        <v>Rich</v>
      </c>
      <c r="AD728" s="28">
        <f>PRICE(Table1[[#This Row],[Issue date]],Table1[[#This Row],[Maturity date]],Table1[[#This Row],[Current coupon %]],Table1[[#This Row],[Yield (Annualised)]]+$AE$2,100,Table1[[#This Row],[Coupon Frequency2]])*Table1[[#This Row],[Face value]]/100</f>
        <v>1185.3731093308588</v>
      </c>
      <c r="AE728" s="28">
        <f>PRICE(Table1[[#This Row],[Issue date]],Table1[[#This Row],[Maturity date]],Table1[[#This Row],[Current coupon %]],Table1[[#This Row],[Yield (Annualised)]]-$AE$2,100,Table1[[#This Row],[Coupon Frequency2]])*Table1[[#This Row],[Face value]]/100</f>
        <v>1464.1374800594754</v>
      </c>
      <c r="AF728" s="28">
        <f>(Table1[[#This Row],[P (+ shock)]]+Table1[[#This Row],[P (-shock)]]-2*Table1[[#This Row],[Ask Price]])/(2*Table1[[#This Row],[Ask Price]]*($AE$2^2))</f>
        <v>81.85155780188046</v>
      </c>
    </row>
    <row r="729" spans="1:32" x14ac:dyDescent="0.25">
      <c r="A729" s="21" t="s">
        <v>1500</v>
      </c>
      <c r="B729" s="3" t="s">
        <v>1501</v>
      </c>
      <c r="C729" s="3" t="s">
        <v>19</v>
      </c>
      <c r="D729" s="4">
        <v>42313</v>
      </c>
      <c r="E729" s="4">
        <v>45966</v>
      </c>
      <c r="F729" s="3">
        <v>1000</v>
      </c>
      <c r="G729" s="3" t="s">
        <v>20</v>
      </c>
      <c r="H729" s="3">
        <v>1020.25</v>
      </c>
      <c r="I729" s="3" t="s">
        <v>20</v>
      </c>
      <c r="J729" s="3">
        <v>102.02500000000001</v>
      </c>
      <c r="K729" s="3">
        <v>35</v>
      </c>
      <c r="L729" s="5">
        <v>6.8900000000000003E-2</v>
      </c>
      <c r="M729" s="3" t="s">
        <v>21</v>
      </c>
      <c r="N729" s="3">
        <v>49</v>
      </c>
      <c r="O729" s="6">
        <f>Table1[[#This Row],[Current coupon %]]*Table1[[#This Row],[Face value]]/Table1[[#This Row],[Ask Price]]</f>
        <v>6.7532467532467541E-2</v>
      </c>
      <c r="P729" s="3"/>
      <c r="Q729" s="3" t="s">
        <v>22</v>
      </c>
      <c r="R729">
        <f t="shared" si="11"/>
        <v>10</v>
      </c>
      <c r="S729" s="22" cm="1">
        <f t="array" ref="S729">_xlfn.IFS(Table1[[#This Row],[Coupon frequency]]="Semi-annual",2,Table1[[#This Row],[Coupon frequency]]="Quarterly",4,Table1[[#This Row],[Coupon frequency]]="Annual",1,Table1[[#This Row],[Coupon frequency]]="Every 4 months",3,Table1[[#This Row],[Coupon frequency]]="Monthly",12)</f>
        <v>1</v>
      </c>
      <c r="T729">
        <f>Table1[[#This Row],[Term to Maturity (Years)]]*Table1[[#This Row],[Coupon Frequency2]]</f>
        <v>10</v>
      </c>
      <c r="U729">
        <f>Table1[[#This Row],[Face value]]*Table1[[#This Row],[Current coupon %]]/Table1[[#This Row],[Coupon Frequency2]]</f>
        <v>68.900000000000006</v>
      </c>
      <c r="V729" s="23">
        <f>RATE(Table1[[#This Row],[Total No. of Coupons]],Table1[[#This Row],[Coupon Amount]],-Table1[[#This Row],[Ask Price]],Table1[[#This Row],[Face value]])</f>
        <v>6.6069021355792096E-2</v>
      </c>
      <c r="W729" s="24">
        <f>Table1[[#This Row],[IRR]]*Table1[[#This Row],[Coupon Frequency2]]</f>
        <v>6.6069021355792096E-2</v>
      </c>
      <c r="X729" s="25" cm="1">
        <f t="array" ref="X72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29" s="26">
        <f>DURATION(Table1[[#This Row],[Issue date]],Table1[[#This Row],[Maturity date]],Table1[[#This Row],[Current coupon %]],Table1[[#This Row],[Yield (Annualised)]],Table1[[#This Row],[Coupon Frequency2]])</f>
        <v>7.5730016849858801</v>
      </c>
      <c r="Z729" s="26">
        <f>Table1[[#This Row],[Macaulay Duration in Years]]/(1+Table1[[#This Row],[IRR]])</f>
        <v>7.103669212106718</v>
      </c>
      <c r="AA729" s="27">
        <f>VLOOKUP(Table1[[#This Row],[Yield Cluster]],'[1]Cluster Details'!$B$3:$C$16,2,0)</f>
        <v>7.8548801574189142E-2</v>
      </c>
      <c r="AB729" s="28">
        <f>PRICE(Table1[[#This Row],[Issue date]],Table1[[#This Row],[Maturity date]],Table1[[#This Row],[Current coupon %]],Table1[[#This Row],[Average Cluster Yield]],100,Table1[[#This Row],[Coupon Frequency2]])*Table1[[#This Row],[Face value]]/100</f>
        <v>934.82981756055642</v>
      </c>
      <c r="AC729" s="27" t="str">
        <f>IF(Table1[[#This Row],[Ask Price]]&gt;Table1[[#This Row],[Calculated Bond Price]],"Rich","Cheap")</f>
        <v>Rich</v>
      </c>
      <c r="AD729" s="28">
        <f>PRICE(Table1[[#This Row],[Issue date]],Table1[[#This Row],[Maturity date]],Table1[[#This Row],[Current coupon %]],Table1[[#This Row],[Yield (Annualised)]]+$AE$2,100,Table1[[#This Row],[Coupon Frequency2]])*Table1[[#This Row],[Face value]]/100</f>
        <v>951.03055851440195</v>
      </c>
      <c r="AE729" s="28">
        <f>PRICE(Table1[[#This Row],[Issue date]],Table1[[#This Row],[Maturity date]],Table1[[#This Row],[Current coupon %]],Table1[[#This Row],[Yield (Annualised)]]-$AE$2,100,Table1[[#This Row],[Coupon Frequency2]])*Table1[[#This Row],[Face value]]/100</f>
        <v>1096.22111407339</v>
      </c>
      <c r="AF729" s="28">
        <f>(Table1[[#This Row],[P (+ shock)]]+Table1[[#This Row],[P (-shock)]]-2*Table1[[#This Row],[Ask Price]])/(2*Table1[[#This Row],[Ask Price]]*($AE$2^2))</f>
        <v>33.088324370458082</v>
      </c>
    </row>
    <row r="730" spans="1:32" x14ac:dyDescent="0.25">
      <c r="A730" s="21" t="s">
        <v>1502</v>
      </c>
      <c r="B730" s="3" t="s">
        <v>1503</v>
      </c>
      <c r="C730" s="3" t="s">
        <v>19</v>
      </c>
      <c r="D730" s="4">
        <v>44552</v>
      </c>
      <c r="E730" s="4">
        <v>48204</v>
      </c>
      <c r="F730" s="3">
        <v>1000000</v>
      </c>
      <c r="G730" s="3" t="s">
        <v>20</v>
      </c>
      <c r="H730" s="3">
        <v>1035488</v>
      </c>
      <c r="I730" s="3" t="s">
        <v>20</v>
      </c>
      <c r="J730" s="3">
        <v>103.5488</v>
      </c>
      <c r="K730" s="3">
        <v>100</v>
      </c>
      <c r="L730" s="5">
        <v>6.9900000000000004E-2</v>
      </c>
      <c r="M730" s="3" t="s">
        <v>21</v>
      </c>
      <c r="N730" s="3">
        <v>2287</v>
      </c>
      <c r="O730" s="6">
        <f>Table1[[#This Row],[Current coupon %]]*Table1[[#This Row],[Face value]]/Table1[[#This Row],[Ask Price]]</f>
        <v>6.750440372075775E-2</v>
      </c>
      <c r="P730" s="3" t="s">
        <v>297</v>
      </c>
      <c r="Q730" s="3" t="s">
        <v>22</v>
      </c>
      <c r="R730">
        <f t="shared" si="11"/>
        <v>10</v>
      </c>
      <c r="S730" s="22" cm="1">
        <f t="array" ref="S730">_xlfn.IFS(Table1[[#This Row],[Coupon frequency]]="Semi-annual",2,Table1[[#This Row],[Coupon frequency]]="Quarterly",4,Table1[[#This Row],[Coupon frequency]]="Annual",1,Table1[[#This Row],[Coupon frequency]]="Every 4 months",3,Table1[[#This Row],[Coupon frequency]]="Monthly",12)</f>
        <v>1</v>
      </c>
      <c r="T730">
        <f>Table1[[#This Row],[Term to Maturity (Years)]]*Table1[[#This Row],[Coupon Frequency2]]</f>
        <v>10</v>
      </c>
      <c r="U730">
        <f>Table1[[#This Row],[Face value]]*Table1[[#This Row],[Current coupon %]]/Table1[[#This Row],[Coupon Frequency2]]</f>
        <v>69900</v>
      </c>
      <c r="V730" s="23">
        <f>RATE(Table1[[#This Row],[Total No. of Coupons]],Table1[[#This Row],[Coupon Amount]],-Table1[[#This Row],[Ask Price]],Table1[[#This Row],[Face value]])</f>
        <v>6.4964277963604447E-2</v>
      </c>
      <c r="W730" s="24">
        <f>Table1[[#This Row],[IRR]]*Table1[[#This Row],[Coupon Frequency2]]</f>
        <v>6.4964277963604447E-2</v>
      </c>
      <c r="X730" s="25" cm="1">
        <f t="array" ref="X73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0" s="26">
        <f>DURATION(Table1[[#This Row],[Issue date]],Table1[[#This Row],[Maturity date]],Table1[[#This Row],[Current coupon %]],Table1[[#This Row],[Yield (Annualised)]],Table1[[#This Row],[Coupon Frequency2]])</f>
        <v>7.5655202392948082</v>
      </c>
      <c r="Z730" s="26">
        <f>Table1[[#This Row],[Macaulay Duration in Years]]/(1+Table1[[#This Row],[IRR]])</f>
        <v>7.1040131540950737</v>
      </c>
      <c r="AA730" s="27">
        <f>VLOOKUP(Table1[[#This Row],[Yield Cluster]],'[1]Cluster Details'!$B$3:$C$16,2,0)</f>
        <v>7.8548801574189142E-2</v>
      </c>
      <c r="AB730" s="28">
        <f>PRICE(Table1[[#This Row],[Issue date]],Table1[[#This Row],[Maturity date]],Table1[[#This Row],[Current coupon %]],Table1[[#This Row],[Average Cluster Yield]],100,Table1[[#This Row],[Coupon Frequency2]])*Table1[[#This Row],[Face value]]/100</f>
        <v>941584.04314373923</v>
      </c>
      <c r="AC730" s="27" t="str">
        <f>IF(Table1[[#This Row],[Ask Price]]&gt;Table1[[#This Row],[Calculated Bond Price]],"Rich","Cheap")</f>
        <v>Rich</v>
      </c>
      <c r="AD730" s="28">
        <f>PRICE(Table1[[#This Row],[Issue date]],Table1[[#This Row],[Maturity date]],Table1[[#This Row],[Current coupon %]],Table1[[#This Row],[Yield (Annualised)]]+$AE$2,100,Table1[[#This Row],[Coupon Frequency2]])*Table1[[#This Row],[Face value]]/100</f>
        <v>965232.71539961884</v>
      </c>
      <c r="AE730" s="28">
        <f>PRICE(Table1[[#This Row],[Issue date]],Table1[[#This Row],[Maturity date]],Table1[[#This Row],[Current coupon %]],Table1[[#This Row],[Yield (Annualised)]]-$AE$2,100,Table1[[#This Row],[Coupon Frequency2]])*Table1[[#This Row],[Face value]]/100</f>
        <v>1112599.1765902194</v>
      </c>
      <c r="AF730" s="28">
        <f>(Table1[[#This Row],[P (+ shock)]]+Table1[[#This Row],[P (-shock)]]-2*Table1[[#This Row],[Ask Price]])/(2*Table1[[#This Row],[Ask Price]]*($AE$2^2))</f>
        <v>33.104642399710727</v>
      </c>
    </row>
    <row r="731" spans="1:32" x14ac:dyDescent="0.25">
      <c r="A731" s="21" t="s">
        <v>1504</v>
      </c>
      <c r="B731" s="3" t="s">
        <v>1505</v>
      </c>
      <c r="C731" s="3" t="s">
        <v>19</v>
      </c>
      <c r="D731" s="4">
        <v>44053</v>
      </c>
      <c r="E731" s="4">
        <v>47704</v>
      </c>
      <c r="F731" s="3">
        <v>1000000</v>
      </c>
      <c r="G731" s="3" t="s">
        <v>20</v>
      </c>
      <c r="H731" s="3">
        <v>1044454.8</v>
      </c>
      <c r="I731" s="3" t="s">
        <v>20</v>
      </c>
      <c r="J731" s="3">
        <v>104.44548</v>
      </c>
      <c r="K731" s="3">
        <v>2</v>
      </c>
      <c r="L731" s="5">
        <v>7.0499999999999993E-2</v>
      </c>
      <c r="M731" s="3" t="s">
        <v>21</v>
      </c>
      <c r="N731" s="3">
        <v>1787</v>
      </c>
      <c r="O731" s="6">
        <f>Table1[[#This Row],[Current coupon %]]*Table1[[#This Row],[Face value]]/Table1[[#This Row],[Ask Price]]</f>
        <v>6.749933075131638E-2</v>
      </c>
      <c r="P731" s="3" t="s">
        <v>54</v>
      </c>
      <c r="Q731" s="3" t="s">
        <v>22</v>
      </c>
      <c r="R731">
        <f t="shared" si="11"/>
        <v>10</v>
      </c>
      <c r="S731" s="22" cm="1">
        <f t="array" ref="S731">_xlfn.IFS(Table1[[#This Row],[Coupon frequency]]="Semi-annual",2,Table1[[#This Row],[Coupon frequency]]="Quarterly",4,Table1[[#This Row],[Coupon frequency]]="Annual",1,Table1[[#This Row],[Coupon frequency]]="Every 4 months",3,Table1[[#This Row],[Coupon frequency]]="Monthly",12)</f>
        <v>1</v>
      </c>
      <c r="T731">
        <f>Table1[[#This Row],[Term to Maturity (Years)]]*Table1[[#This Row],[Coupon Frequency2]]</f>
        <v>10</v>
      </c>
      <c r="U731">
        <f>Table1[[#This Row],[Face value]]*Table1[[#This Row],[Current coupon %]]/Table1[[#This Row],[Coupon Frequency2]]</f>
        <v>70500</v>
      </c>
      <c r="V731" s="23">
        <f>RATE(Table1[[#This Row],[Total No. of Coupons]],Table1[[#This Row],[Coupon Amount]],-Table1[[#This Row],[Ask Price]],Table1[[#This Row],[Face value]])</f>
        <v>6.4335348812280091E-2</v>
      </c>
      <c r="W731" s="24">
        <f>Table1[[#This Row],[IRR]]*Table1[[#This Row],[Coupon Frequency2]]</f>
        <v>6.4335348812280091E-2</v>
      </c>
      <c r="X731" s="25" cm="1">
        <f t="array" ref="X73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1" s="26">
        <f>DURATION(Table1[[#This Row],[Issue date]],Table1[[#This Row],[Maturity date]],Table1[[#This Row],[Current coupon %]],Table1[[#This Row],[Yield (Annualised)]],Table1[[#This Row],[Coupon Frequency2]])</f>
        <v>7.5580699642300662</v>
      </c>
      <c r="Z731" s="26">
        <f>Table1[[#This Row],[Macaulay Duration in Years]]/(1+Table1[[#This Row],[IRR]])</f>
        <v>7.1012110728675086</v>
      </c>
      <c r="AA731" s="27">
        <f>VLOOKUP(Table1[[#This Row],[Yield Cluster]],'[1]Cluster Details'!$B$3:$C$16,2,0)</f>
        <v>7.8548801574189142E-2</v>
      </c>
      <c r="AB731" s="28">
        <f>PRICE(Table1[[#This Row],[Issue date]],Table1[[#This Row],[Maturity date]],Table1[[#This Row],[Current coupon %]],Table1[[#This Row],[Average Cluster Yield]],100,Table1[[#This Row],[Coupon Frequency2]])*Table1[[#This Row],[Face value]]/100</f>
        <v>945639.39287537115</v>
      </c>
      <c r="AC731" s="27" t="str">
        <f>IF(Table1[[#This Row],[Ask Price]]&gt;Table1[[#This Row],[Calculated Bond Price]],"Rich","Cheap")</f>
        <v>Rich</v>
      </c>
      <c r="AD731" s="28">
        <f>PRICE(Table1[[#This Row],[Issue date]],Table1[[#This Row],[Maturity date]],Table1[[#This Row],[Current coupon %]],Table1[[#This Row],[Yield (Annualised)]]+$AE$2,100,Table1[[#This Row],[Coupon Frequency2]])*Table1[[#This Row],[Face value]]/100</f>
        <v>973591.8718229552</v>
      </c>
      <c r="AE731" s="28">
        <f>PRICE(Table1[[#This Row],[Issue date]],Table1[[#This Row],[Maturity date]],Table1[[#This Row],[Current coupon %]],Table1[[#This Row],[Yield (Annualised)]]-$AE$2,100,Table1[[#This Row],[Coupon Frequency2]])*Table1[[#This Row],[Face value]]/100</f>
        <v>1122201.5931593322</v>
      </c>
      <c r="AF731" s="28">
        <f>(Table1[[#This Row],[P (+ shock)]]+Table1[[#This Row],[P (-shock)]]-2*Table1[[#This Row],[Ask Price]])/(2*Table1[[#This Row],[Ask Price]]*($AE$2^2))</f>
        <v>32.954346048710768</v>
      </c>
    </row>
    <row r="732" spans="1:32" x14ac:dyDescent="0.25">
      <c r="A732" s="21" t="s">
        <v>1506</v>
      </c>
      <c r="B732" s="3" t="s">
        <v>1507</v>
      </c>
      <c r="C732" s="3" t="s">
        <v>19</v>
      </c>
      <c r="D732" s="4">
        <v>41262</v>
      </c>
      <c r="E732" s="4">
        <v>46740</v>
      </c>
      <c r="F732" s="3">
        <v>1000</v>
      </c>
      <c r="G732" s="3" t="s">
        <v>20</v>
      </c>
      <c r="H732" s="3">
        <v>1095.9000000000001</v>
      </c>
      <c r="I732" s="3" t="s">
        <v>20</v>
      </c>
      <c r="J732" s="3">
        <v>109.59</v>
      </c>
      <c r="K732" s="3">
        <v>100</v>
      </c>
      <c r="L732" s="5">
        <v>7.3800000000000004E-2</v>
      </c>
      <c r="M732" s="3" t="s">
        <v>21</v>
      </c>
      <c r="N732" s="3">
        <v>823</v>
      </c>
      <c r="O732" s="6">
        <f>Table1[[#This Row],[Current coupon %]]*Table1[[#This Row],[Face value]]/Table1[[#This Row],[Ask Price]]</f>
        <v>6.7341910758280873E-2</v>
      </c>
      <c r="P732" s="3"/>
      <c r="Q732" s="3" t="s">
        <v>22</v>
      </c>
      <c r="R732">
        <f t="shared" si="11"/>
        <v>15</v>
      </c>
      <c r="S732" s="22" cm="1">
        <f t="array" ref="S732">_xlfn.IFS(Table1[[#This Row],[Coupon frequency]]="Semi-annual",2,Table1[[#This Row],[Coupon frequency]]="Quarterly",4,Table1[[#This Row],[Coupon frequency]]="Annual",1,Table1[[#This Row],[Coupon frequency]]="Every 4 months",3,Table1[[#This Row],[Coupon frequency]]="Monthly",12)</f>
        <v>1</v>
      </c>
      <c r="T732">
        <f>Table1[[#This Row],[Term to Maturity (Years)]]*Table1[[#This Row],[Coupon Frequency2]]</f>
        <v>15</v>
      </c>
      <c r="U732">
        <f>Table1[[#This Row],[Face value]]*Table1[[#This Row],[Current coupon %]]/Table1[[#This Row],[Coupon Frequency2]]</f>
        <v>73.800000000000011</v>
      </c>
      <c r="V732" s="23">
        <f>RATE(Table1[[#This Row],[Total No. of Coupons]],Table1[[#This Row],[Coupon Amount]],-Table1[[#This Row],[Ask Price]],Table1[[#This Row],[Face value]])</f>
        <v>6.3686648311225696E-2</v>
      </c>
      <c r="W732" s="24">
        <f>Table1[[#This Row],[IRR]]*Table1[[#This Row],[Coupon Frequency2]]</f>
        <v>6.3686648311225696E-2</v>
      </c>
      <c r="X732" s="25" cm="1">
        <f t="array" ref="X73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2" s="26">
        <f>DURATION(Table1[[#This Row],[Issue date]],Table1[[#This Row],[Maturity date]],Table1[[#This Row],[Current coupon %]],Table1[[#This Row],[Yield (Annualised)]],Table1[[#This Row],[Coupon Frequency2]])</f>
        <v>9.8044114522537367</v>
      </c>
      <c r="Z732" s="26">
        <f>Table1[[#This Row],[Macaulay Duration in Years]]/(1+Table1[[#This Row],[IRR]])</f>
        <v>9.2173869699500539</v>
      </c>
      <c r="AA732" s="27">
        <f>VLOOKUP(Table1[[#This Row],[Yield Cluster]],'[1]Cluster Details'!$B$3:$C$16,2,0)</f>
        <v>7.8548801574189142E-2</v>
      </c>
      <c r="AB732" s="28">
        <f>PRICE(Table1[[#This Row],[Issue date]],Table1[[#This Row],[Maturity date]],Table1[[#This Row],[Current coupon %]],Table1[[#This Row],[Average Cluster Yield]],100,Table1[[#This Row],[Coupon Frequency2]])*Table1[[#This Row],[Face value]]/100</f>
        <v>958.99006571592395</v>
      </c>
      <c r="AC732" s="27" t="str">
        <f>IF(Table1[[#This Row],[Ask Price]]&gt;Table1[[#This Row],[Calculated Bond Price]],"Rich","Cheap")</f>
        <v>Rich</v>
      </c>
      <c r="AD732" s="28">
        <f>PRICE(Table1[[#This Row],[Issue date]],Table1[[#This Row],[Maturity date]],Table1[[#This Row],[Current coupon %]],Table1[[#This Row],[Yield (Annualised)]]+$AE$2,100,Table1[[#This Row],[Coupon Frequency2]])*Table1[[#This Row],[Face value]]/100</f>
        <v>1001.0087813356423</v>
      </c>
      <c r="AE732" s="28">
        <f>PRICE(Table1[[#This Row],[Issue date]],Table1[[#This Row],[Maturity date]],Table1[[#This Row],[Current coupon %]],Table1[[#This Row],[Yield (Annualised)]]-$AE$2,100,Table1[[#This Row],[Coupon Frequency2]])*Table1[[#This Row],[Face value]]/100</f>
        <v>1203.663189048629</v>
      </c>
      <c r="AF732" s="28">
        <f>(Table1[[#This Row],[P (+ shock)]]+Table1[[#This Row],[P (-shock)]]-2*Table1[[#This Row],[Ask Price]])/(2*Table1[[#This Row],[Ask Price]]*($AE$2^2))</f>
        <v>58.727851009541041</v>
      </c>
    </row>
    <row r="733" spans="1:32" x14ac:dyDescent="0.25">
      <c r="A733" s="21" t="s">
        <v>1508</v>
      </c>
      <c r="B733" s="3" t="s">
        <v>1509</v>
      </c>
      <c r="C733" s="3" t="s">
        <v>19</v>
      </c>
      <c r="D733" s="4">
        <v>42359</v>
      </c>
      <c r="E733" s="4">
        <v>46012</v>
      </c>
      <c r="F733" s="3">
        <v>1000</v>
      </c>
      <c r="G733" s="3" t="s">
        <v>20</v>
      </c>
      <c r="H733" s="3">
        <v>1050.05</v>
      </c>
      <c r="I733" s="3" t="s">
        <v>20</v>
      </c>
      <c r="J733" s="3">
        <v>105.005</v>
      </c>
      <c r="K733" s="3">
        <v>614</v>
      </c>
      <c r="L733" s="5">
        <v>7.0699999999999999E-2</v>
      </c>
      <c r="M733" s="3" t="s">
        <v>21</v>
      </c>
      <c r="N733" s="3">
        <v>95</v>
      </c>
      <c r="O733" s="6">
        <f>Table1[[#This Row],[Current coupon %]]*Table1[[#This Row],[Face value]]/Table1[[#This Row],[Ask Price]]</f>
        <v>6.7330127136803017E-2</v>
      </c>
      <c r="P733" s="3" t="s">
        <v>297</v>
      </c>
      <c r="Q733" s="3" t="s">
        <v>22</v>
      </c>
      <c r="R733">
        <f t="shared" si="11"/>
        <v>10</v>
      </c>
      <c r="S733" s="22" cm="1">
        <f t="array" ref="S733">_xlfn.IFS(Table1[[#This Row],[Coupon frequency]]="Semi-annual",2,Table1[[#This Row],[Coupon frequency]]="Quarterly",4,Table1[[#This Row],[Coupon frequency]]="Annual",1,Table1[[#This Row],[Coupon frequency]]="Every 4 months",3,Table1[[#This Row],[Coupon frequency]]="Monthly",12)</f>
        <v>1</v>
      </c>
      <c r="T733">
        <f>Table1[[#This Row],[Term to Maturity (Years)]]*Table1[[#This Row],[Coupon Frequency2]]</f>
        <v>10</v>
      </c>
      <c r="U733">
        <f>Table1[[#This Row],[Face value]]*Table1[[#This Row],[Current coupon %]]/Table1[[#This Row],[Coupon Frequency2]]</f>
        <v>70.7</v>
      </c>
      <c r="V733" s="23">
        <f>RATE(Table1[[#This Row],[Total No. of Coupons]],Table1[[#This Row],[Coupon Amount]],-Table1[[#This Row],[Ask Price]],Table1[[#This Row],[Face value]])</f>
        <v>6.3777583833545592E-2</v>
      </c>
      <c r="W733" s="24">
        <f>Table1[[#This Row],[IRR]]*Table1[[#This Row],[Coupon Frequency2]]</f>
        <v>6.3777583833545592E-2</v>
      </c>
      <c r="X733" s="25" cm="1">
        <f t="array" ref="X73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3" s="26">
        <f>DURATION(Table1[[#This Row],[Issue date]],Table1[[#This Row],[Maturity date]],Table1[[#This Row],[Current coupon %]],Table1[[#This Row],[Yield (Annualised)]],Table1[[#This Row],[Coupon Frequency2]])</f>
        <v>7.5626531473951157</v>
      </c>
      <c r="Z733" s="26">
        <f>Table1[[#This Row],[Macaulay Duration in Years]]/(1+Table1[[#This Row],[IRR]])</f>
        <v>7.1092428176024445</v>
      </c>
      <c r="AA733" s="27">
        <f>VLOOKUP(Table1[[#This Row],[Yield Cluster]],'[1]Cluster Details'!$B$3:$C$16,2,0)</f>
        <v>7.8548801574189142E-2</v>
      </c>
      <c r="AB733" s="28">
        <f>PRICE(Table1[[#This Row],[Issue date]],Table1[[#This Row],[Maturity date]],Table1[[#This Row],[Current coupon %]],Table1[[#This Row],[Average Cluster Yield]],100,Table1[[#This Row],[Coupon Frequency2]])*Table1[[#This Row],[Face value]]/100</f>
        <v>946.98742361028576</v>
      </c>
      <c r="AC733" s="27" t="str">
        <f>IF(Table1[[#This Row],[Ask Price]]&gt;Table1[[#This Row],[Calculated Bond Price]],"Rich","Cheap")</f>
        <v>Rich</v>
      </c>
      <c r="AD733" s="28">
        <f>PRICE(Table1[[#This Row],[Issue date]],Table1[[#This Row],[Maturity date]],Table1[[#This Row],[Current coupon %]],Table1[[#This Row],[Yield (Annualised)]]+$AE$2,100,Table1[[#This Row],[Coupon Frequency2]])*Table1[[#This Row],[Face value]]/100</f>
        <v>978.75679641221393</v>
      </c>
      <c r="AE733" s="28">
        <f>PRICE(Table1[[#This Row],[Issue date]],Table1[[#This Row],[Maturity date]],Table1[[#This Row],[Current coupon %]],Table1[[#This Row],[Yield (Annualised)]]-$AE$2,100,Table1[[#This Row],[Coupon Frequency2]])*Table1[[#This Row],[Face value]]/100</f>
        <v>1128.3060849153821</v>
      </c>
      <c r="AF733" s="28">
        <f>(Table1[[#This Row],[P (+ shock)]]+Table1[[#This Row],[P (-shock)]]-2*Table1[[#This Row],[Ask Price]])/(2*Table1[[#This Row],[Ask Price]]*($AE$2^2))</f>
        <v>33.154998940985088</v>
      </c>
    </row>
    <row r="734" spans="1:32" x14ac:dyDescent="0.25">
      <c r="A734" s="21" t="s">
        <v>1510</v>
      </c>
      <c r="B734" s="3" t="s">
        <v>1511</v>
      </c>
      <c r="C734" s="3" t="s">
        <v>19</v>
      </c>
      <c r="D734" s="4">
        <v>41723</v>
      </c>
      <c r="E734" s="4">
        <v>49028</v>
      </c>
      <c r="F734" s="3">
        <v>1000</v>
      </c>
      <c r="G734" s="3" t="s">
        <v>20</v>
      </c>
      <c r="H734" s="3">
        <v>1300</v>
      </c>
      <c r="I734" s="3" t="s">
        <v>20</v>
      </c>
      <c r="J734" s="3">
        <v>130</v>
      </c>
      <c r="K734" s="3">
        <v>498</v>
      </c>
      <c r="L734" s="5">
        <v>8.7499999999999994E-2</v>
      </c>
      <c r="M734" s="3" t="s">
        <v>21</v>
      </c>
      <c r="N734" s="3">
        <v>3111</v>
      </c>
      <c r="O734" s="6">
        <f>Table1[[#This Row],[Current coupon %]]*Table1[[#This Row],[Face value]]/Table1[[#This Row],[Ask Price]]</f>
        <v>6.7307692307692304E-2</v>
      </c>
      <c r="P734" s="3"/>
      <c r="Q734" s="3" t="s">
        <v>22</v>
      </c>
      <c r="R734">
        <f t="shared" si="11"/>
        <v>20</v>
      </c>
      <c r="S734" s="22" cm="1">
        <f t="array" ref="S734">_xlfn.IFS(Table1[[#This Row],[Coupon frequency]]="Semi-annual",2,Table1[[#This Row],[Coupon frequency]]="Quarterly",4,Table1[[#This Row],[Coupon frequency]]="Annual",1,Table1[[#This Row],[Coupon frequency]]="Every 4 months",3,Table1[[#This Row],[Coupon frequency]]="Monthly",12)</f>
        <v>1</v>
      </c>
      <c r="T734">
        <f>Table1[[#This Row],[Term to Maturity (Years)]]*Table1[[#This Row],[Coupon Frequency2]]</f>
        <v>20</v>
      </c>
      <c r="U734">
        <f>Table1[[#This Row],[Face value]]*Table1[[#This Row],[Current coupon %]]/Table1[[#This Row],[Coupon Frequency2]]</f>
        <v>87.5</v>
      </c>
      <c r="V734" s="23">
        <f>RATE(Table1[[#This Row],[Total No. of Coupons]],Table1[[#This Row],[Coupon Amount]],-Table1[[#This Row],[Ask Price]],Table1[[#This Row],[Face value]])</f>
        <v>6.1108725817787986E-2</v>
      </c>
      <c r="W734" s="24">
        <f>Table1[[#This Row],[IRR]]*Table1[[#This Row],[Coupon Frequency2]]</f>
        <v>6.1108725817787986E-2</v>
      </c>
      <c r="X734" s="25" cm="1">
        <f t="array" ref="X73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4" s="26">
        <f>DURATION(Table1[[#This Row],[Issue date]],Table1[[#This Row],[Maturity date]],Table1[[#This Row],[Current coupon %]],Table1[[#This Row],[Yield (Annualised)]],Table1[[#This Row],[Coupon Frequency2]])</f>
        <v>11.256801231590408</v>
      </c>
      <c r="Z734" s="26">
        <f>Table1[[#This Row],[Macaulay Duration in Years]]/(1+Table1[[#This Row],[IRR]])</f>
        <v>10.608527625587927</v>
      </c>
      <c r="AA734" s="27">
        <f>VLOOKUP(Table1[[#This Row],[Yield Cluster]],'[1]Cluster Details'!$B$3:$C$16,2,0)</f>
        <v>7.8548801574189142E-2</v>
      </c>
      <c r="AB734" s="28">
        <f>PRICE(Table1[[#This Row],[Issue date]],Table1[[#This Row],[Maturity date]],Table1[[#This Row],[Current coupon %]],Table1[[#This Row],[Average Cluster Yield]],100,Table1[[#This Row],[Coupon Frequency2]])*Table1[[#This Row],[Face value]]/100</f>
        <v>1088.8414423435356</v>
      </c>
      <c r="AC734" s="27" t="str">
        <f>IF(Table1[[#This Row],[Ask Price]]&gt;Table1[[#This Row],[Calculated Bond Price]],"Rich","Cheap")</f>
        <v>Rich</v>
      </c>
      <c r="AD734" s="28">
        <f>PRICE(Table1[[#This Row],[Issue date]],Table1[[#This Row],[Maturity date]],Table1[[#This Row],[Current coupon %]],Table1[[#This Row],[Yield (Annualised)]]+$AE$2,100,Table1[[#This Row],[Coupon Frequency2]])*Table1[[#This Row],[Face value]]/100</f>
        <v>1172.1630063030541</v>
      </c>
      <c r="AE734" s="28">
        <f>PRICE(Table1[[#This Row],[Issue date]],Table1[[#This Row],[Maturity date]],Table1[[#This Row],[Current coupon %]],Table1[[#This Row],[Yield (Annualised)]]-$AE$2,100,Table1[[#This Row],[Coupon Frequency2]])*Table1[[#This Row],[Face value]]/100</f>
        <v>1449.282393925464</v>
      </c>
      <c r="AF734" s="28">
        <f>(Table1[[#This Row],[P (+ shock)]]+Table1[[#This Row],[P (-shock)]]-2*Table1[[#This Row],[Ask Price]])/(2*Table1[[#This Row],[Ask Price]]*($AE$2^2))</f>
        <v>82.48230857122438</v>
      </c>
    </row>
    <row r="735" spans="1:32" x14ac:dyDescent="0.25">
      <c r="A735" s="21" t="s">
        <v>1512</v>
      </c>
      <c r="B735" s="3" t="s">
        <v>1513</v>
      </c>
      <c r="C735" s="3" t="s">
        <v>19</v>
      </c>
      <c r="D735" s="4">
        <v>44195</v>
      </c>
      <c r="E735" s="4">
        <v>47847</v>
      </c>
      <c r="F735" s="3">
        <v>1000000</v>
      </c>
      <c r="G735" s="3" t="s">
        <v>20</v>
      </c>
      <c r="H735" s="3">
        <v>965330</v>
      </c>
      <c r="I735" s="3" t="s">
        <v>20</v>
      </c>
      <c r="J735" s="3">
        <v>96.533000000000001</v>
      </c>
      <c r="K735" s="3">
        <v>50</v>
      </c>
      <c r="L735" s="5">
        <v>6.4899999999999999E-2</v>
      </c>
      <c r="M735" s="3" t="s">
        <v>53</v>
      </c>
      <c r="N735" s="3">
        <v>1930</v>
      </c>
      <c r="O735" s="6">
        <f>Table1[[#This Row],[Current coupon %]]*Table1[[#This Row],[Face value]]/Table1[[#This Row],[Ask Price]]</f>
        <v>6.7230895134306398E-2</v>
      </c>
      <c r="P735" s="3"/>
      <c r="Q735" s="3" t="s">
        <v>22</v>
      </c>
      <c r="R735">
        <f t="shared" si="11"/>
        <v>10</v>
      </c>
      <c r="S735" s="22" cm="1">
        <f t="array" ref="S735">_xlfn.IFS(Table1[[#This Row],[Coupon frequency]]="Semi-annual",2,Table1[[#This Row],[Coupon frequency]]="Quarterly",4,Table1[[#This Row],[Coupon frequency]]="Annual",1,Table1[[#This Row],[Coupon frequency]]="Every 4 months",3,Table1[[#This Row],[Coupon frequency]]="Monthly",12)</f>
        <v>2</v>
      </c>
      <c r="T735">
        <f>Table1[[#This Row],[Term to Maturity (Years)]]*Table1[[#This Row],[Coupon Frequency2]]</f>
        <v>20</v>
      </c>
      <c r="U735">
        <f>Table1[[#This Row],[Face value]]*Table1[[#This Row],[Current coupon %]]/Table1[[#This Row],[Coupon Frequency2]]</f>
        <v>32450</v>
      </c>
      <c r="V735" s="23">
        <f>RATE(Table1[[#This Row],[Total No. of Coupons]],Table1[[#This Row],[Coupon Amount]],-Table1[[#This Row],[Ask Price]],Table1[[#This Row],[Face value]])</f>
        <v>3.4886923274707833E-2</v>
      </c>
      <c r="W735" s="24">
        <f>Table1[[#This Row],[IRR]]*Table1[[#This Row],[Coupon Frequency2]]</f>
        <v>6.9773846549415666E-2</v>
      </c>
      <c r="X735" s="25" cm="1">
        <f t="array" ref="X73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5" s="26">
        <f>DURATION(Table1[[#This Row],[Issue date]],Table1[[#This Row],[Maturity date]],Table1[[#This Row],[Current coupon %]],Table1[[#This Row],[Yield (Annualised)]],Table1[[#This Row],[Coupon Frequency2]])</f>
        <v>7.4578018019418995</v>
      </c>
      <c r="Z735" s="26">
        <f>Table1[[#This Row],[Macaulay Duration in Years]]/(1+Table1[[#This Row],[IRR]])</f>
        <v>7.2063929248840717</v>
      </c>
      <c r="AA735" s="27">
        <f>VLOOKUP(Table1[[#This Row],[Yield Cluster]],'[1]Cluster Details'!$B$3:$C$16,2,0)</f>
        <v>7.8548801574189142E-2</v>
      </c>
      <c r="AB735" s="28">
        <f>PRICE(Table1[[#This Row],[Issue date]],Table1[[#This Row],[Maturity date]],Table1[[#This Row],[Current coupon %]],Table1[[#This Row],[Average Cluster Yield]],100,Table1[[#This Row],[Coupon Frequency2]])*Table1[[#This Row],[Face value]]/100</f>
        <v>906655.40105282422</v>
      </c>
      <c r="AC735" s="27" t="str">
        <f>IF(Table1[[#This Row],[Ask Price]]&gt;Table1[[#This Row],[Calculated Bond Price]],"Rich","Cheap")</f>
        <v>Rich</v>
      </c>
      <c r="AD735" s="28">
        <f>PRICE(Table1[[#This Row],[Issue date]],Table1[[#This Row],[Maturity date]],Table1[[#This Row],[Current coupon %]],Table1[[#This Row],[Yield (Annualised)]]+$AE$2,100,Table1[[#This Row],[Coupon Frequency2]])*Table1[[#This Row],[Face value]]/100</f>
        <v>898828.51000235858</v>
      </c>
      <c r="AE735" s="28">
        <f>PRICE(Table1[[#This Row],[Issue date]],Table1[[#This Row],[Maturity date]],Table1[[#This Row],[Current coupon %]],Table1[[#This Row],[Yield (Annualised)]]-$AE$2,100,Table1[[#This Row],[Coupon Frequency2]])*Table1[[#This Row],[Face value]]/100</f>
        <v>1038172.0053326664</v>
      </c>
      <c r="AF735" s="28">
        <f>(Table1[[#This Row],[P (+ shock)]]+Table1[[#This Row],[P (-shock)]]-2*Table1[[#This Row],[Ask Price]])/(2*Table1[[#This Row],[Ask Price]]*($AE$2^2))</f>
        <v>32.841180399578555</v>
      </c>
    </row>
    <row r="736" spans="1:32" x14ac:dyDescent="0.25">
      <c r="A736" s="21" t="s">
        <v>1514</v>
      </c>
      <c r="B736" s="3" t="s">
        <v>1515</v>
      </c>
      <c r="C736" s="3" t="s">
        <v>19</v>
      </c>
      <c r="D736" s="4">
        <v>41594</v>
      </c>
      <c r="E736" s="4">
        <v>48899</v>
      </c>
      <c r="F736" s="3">
        <v>1000</v>
      </c>
      <c r="G736" s="3" t="s">
        <v>20</v>
      </c>
      <c r="H736" s="3">
        <v>1289.6500000000001</v>
      </c>
      <c r="I736" s="3" t="s">
        <v>20</v>
      </c>
      <c r="J736" s="3">
        <v>128.965</v>
      </c>
      <c r="K736" s="3">
        <v>16800</v>
      </c>
      <c r="L736" s="5">
        <v>8.6699999999999999E-2</v>
      </c>
      <c r="M736" s="3" t="s">
        <v>21</v>
      </c>
      <c r="N736" s="3">
        <v>2982</v>
      </c>
      <c r="O736" s="6">
        <f>Table1[[#This Row],[Current coupon %]]*Table1[[#This Row],[Face value]]/Table1[[#This Row],[Ask Price]]</f>
        <v>6.7227542356453299E-2</v>
      </c>
      <c r="P736" s="3" t="s">
        <v>54</v>
      </c>
      <c r="Q736" s="3" t="s">
        <v>22</v>
      </c>
      <c r="R736">
        <f t="shared" si="11"/>
        <v>20</v>
      </c>
      <c r="S736" s="22" cm="1">
        <f t="array" ref="S736">_xlfn.IFS(Table1[[#This Row],[Coupon frequency]]="Semi-annual",2,Table1[[#This Row],[Coupon frequency]]="Quarterly",4,Table1[[#This Row],[Coupon frequency]]="Annual",1,Table1[[#This Row],[Coupon frequency]]="Every 4 months",3,Table1[[#This Row],[Coupon frequency]]="Monthly",12)</f>
        <v>1</v>
      </c>
      <c r="T736">
        <f>Table1[[#This Row],[Term to Maturity (Years)]]*Table1[[#This Row],[Coupon Frequency2]]</f>
        <v>20</v>
      </c>
      <c r="U736">
        <f>Table1[[#This Row],[Face value]]*Table1[[#This Row],[Current coupon %]]/Table1[[#This Row],[Coupon Frequency2]]</f>
        <v>86.7</v>
      </c>
      <c r="V736" s="23">
        <f>RATE(Table1[[#This Row],[Total No. of Coupons]],Table1[[#This Row],[Coupon Amount]],-Table1[[#This Row],[Ask Price]],Table1[[#This Row],[Face value]])</f>
        <v>6.1200358241515394E-2</v>
      </c>
      <c r="W736" s="24">
        <f>Table1[[#This Row],[IRR]]*Table1[[#This Row],[Coupon Frequency2]]</f>
        <v>6.1200358241515394E-2</v>
      </c>
      <c r="X736" s="25" cm="1">
        <f t="array" ref="X73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6" s="26">
        <f>DURATION(Table1[[#This Row],[Issue date]],Table1[[#This Row],[Maturity date]],Table1[[#This Row],[Current coupon %]],Table1[[#This Row],[Yield (Annualised)]],Table1[[#This Row],[Coupon Frequency2]])</f>
        <v>11.271627879729893</v>
      </c>
      <c r="Z736" s="26">
        <f>Table1[[#This Row],[Macaulay Duration in Years]]/(1+Table1[[#This Row],[IRR]])</f>
        <v>10.621583183789895</v>
      </c>
      <c r="AA736" s="27">
        <f>VLOOKUP(Table1[[#This Row],[Yield Cluster]],'[1]Cluster Details'!$B$3:$C$16,2,0)</f>
        <v>7.8548801574189142E-2</v>
      </c>
      <c r="AB736" s="28">
        <f>PRICE(Table1[[#This Row],[Issue date]],Table1[[#This Row],[Maturity date]],Table1[[#This Row],[Current coupon %]],Table1[[#This Row],[Average Cluster Yield]],100,Table1[[#This Row],[Coupon Frequency2]])*Table1[[#This Row],[Face value]]/100</f>
        <v>1080.9013710263935</v>
      </c>
      <c r="AC736" s="27" t="str">
        <f>IF(Table1[[#This Row],[Ask Price]]&gt;Table1[[#This Row],[Calculated Bond Price]],"Rich","Cheap")</f>
        <v>Rich</v>
      </c>
      <c r="AD736" s="28">
        <f>PRICE(Table1[[#This Row],[Issue date]],Table1[[#This Row],[Maturity date]],Table1[[#This Row],[Current coupon %]],Table1[[#This Row],[Yield (Annualised)]]+$AE$2,100,Table1[[#This Row],[Coupon Frequency2]])*Table1[[#This Row],[Face value]]/100</f>
        <v>1162.6825731274539</v>
      </c>
      <c r="AE736" s="28">
        <f>PRICE(Table1[[#This Row],[Issue date]],Table1[[#This Row],[Maturity date]],Table1[[#This Row],[Current coupon %]],Table1[[#This Row],[Yield (Annualised)]]-$AE$2,100,Table1[[#This Row],[Coupon Frequency2]])*Table1[[#This Row],[Face value]]/100</f>
        <v>1437.935721754774</v>
      </c>
      <c r="AF736" s="28">
        <f>(Table1[[#This Row],[P (+ shock)]]+Table1[[#This Row],[P (-shock)]]-2*Table1[[#This Row],[Ask Price]])/(2*Table1[[#This Row],[Ask Price]]*($AE$2^2))</f>
        <v>82.65147474984586</v>
      </c>
    </row>
    <row r="737" spans="1:32" x14ac:dyDescent="0.25">
      <c r="A737" s="21" t="s">
        <v>1516</v>
      </c>
      <c r="B737" s="3" t="s">
        <v>1517</v>
      </c>
      <c r="C737" s="3" t="s">
        <v>19</v>
      </c>
      <c r="D737" s="4">
        <v>41722</v>
      </c>
      <c r="E737" s="4">
        <v>49027</v>
      </c>
      <c r="F737" s="3">
        <v>1000</v>
      </c>
      <c r="G737" s="3" t="s">
        <v>20</v>
      </c>
      <c r="H737" s="3">
        <v>1318.5</v>
      </c>
      <c r="I737" s="3" t="s">
        <v>20</v>
      </c>
      <c r="J737" s="3">
        <v>131.85</v>
      </c>
      <c r="K737" s="3">
        <v>330</v>
      </c>
      <c r="L737" s="5">
        <v>8.8599999999999998E-2</v>
      </c>
      <c r="M737" s="3" t="s">
        <v>21</v>
      </c>
      <c r="N737" s="3">
        <v>3110</v>
      </c>
      <c r="O737" s="6">
        <f>Table1[[#This Row],[Current coupon %]]*Table1[[#This Row],[Face value]]/Table1[[#This Row],[Ask Price]]</f>
        <v>6.7197572999620772E-2</v>
      </c>
      <c r="P737" s="3"/>
      <c r="Q737" s="3" t="s">
        <v>22</v>
      </c>
      <c r="R737">
        <f t="shared" si="11"/>
        <v>20</v>
      </c>
      <c r="S737" s="22" cm="1">
        <f t="array" ref="S737">_xlfn.IFS(Table1[[#This Row],[Coupon frequency]]="Semi-annual",2,Table1[[#This Row],[Coupon frequency]]="Quarterly",4,Table1[[#This Row],[Coupon frequency]]="Annual",1,Table1[[#This Row],[Coupon frequency]]="Every 4 months",3,Table1[[#This Row],[Coupon frequency]]="Monthly",12)</f>
        <v>1</v>
      </c>
      <c r="T737">
        <f>Table1[[#This Row],[Term to Maturity (Years)]]*Table1[[#This Row],[Coupon Frequency2]]</f>
        <v>20</v>
      </c>
      <c r="U737">
        <f>Table1[[#This Row],[Face value]]*Table1[[#This Row],[Current coupon %]]/Table1[[#This Row],[Coupon Frequency2]]</f>
        <v>88.6</v>
      </c>
      <c r="V737" s="23">
        <f>RATE(Table1[[#This Row],[Total No. of Coupons]],Table1[[#This Row],[Coupon Amount]],-Table1[[#This Row],[Ask Price]],Table1[[#This Row],[Face value]])</f>
        <v>6.0678559428038827E-2</v>
      </c>
      <c r="W737" s="24">
        <f>Table1[[#This Row],[IRR]]*Table1[[#This Row],[Coupon Frequency2]]</f>
        <v>6.0678559428038827E-2</v>
      </c>
      <c r="X737" s="25" cm="1">
        <f t="array" ref="X73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7" s="26">
        <f>DURATION(Table1[[#This Row],[Issue date]],Table1[[#This Row],[Maturity date]],Table1[[#This Row],[Current coupon %]],Table1[[#This Row],[Yield (Annualised)]],Table1[[#This Row],[Coupon Frequency2]])</f>
        <v>11.25033734386707</v>
      </c>
      <c r="Z737" s="26">
        <f>Table1[[#This Row],[Macaulay Duration in Years]]/(1+Table1[[#This Row],[IRR]])</f>
        <v>10.606735889838022</v>
      </c>
      <c r="AA737" s="27">
        <f>VLOOKUP(Table1[[#This Row],[Yield Cluster]],'[1]Cluster Details'!$B$3:$C$16,2,0)</f>
        <v>7.8548801574189142E-2</v>
      </c>
      <c r="AB737" s="28">
        <f>PRICE(Table1[[#This Row],[Issue date]],Table1[[#This Row],[Maturity date]],Table1[[#This Row],[Current coupon %]],Table1[[#This Row],[Average Cluster Yield]],100,Table1[[#This Row],[Coupon Frequency2]])*Table1[[#This Row],[Face value]]/100</f>
        <v>1099.7590404046057</v>
      </c>
      <c r="AC737" s="27" t="str">
        <f>IF(Table1[[#This Row],[Ask Price]]&gt;Table1[[#This Row],[Calculated Bond Price]],"Rich","Cheap")</f>
        <v>Rich</v>
      </c>
      <c r="AD737" s="28">
        <f>PRICE(Table1[[#This Row],[Issue date]],Table1[[#This Row],[Maturity date]],Table1[[#This Row],[Current coupon %]],Table1[[#This Row],[Yield (Annualised)]]+$AE$2,100,Table1[[#This Row],[Coupon Frequency2]])*Table1[[#This Row],[Face value]]/100</f>
        <v>1188.8627926627905</v>
      </c>
      <c r="AE737" s="28">
        <f>PRICE(Table1[[#This Row],[Issue date]],Table1[[#This Row],[Maturity date]],Table1[[#This Row],[Current coupon %]],Table1[[#This Row],[Yield (Annualised)]]-$AE$2,100,Table1[[#This Row],[Coupon Frequency2]])*Table1[[#This Row],[Face value]]/100</f>
        <v>1469.8777334067697</v>
      </c>
      <c r="AF737" s="28">
        <f>(Table1[[#This Row],[P (+ shock)]]+Table1[[#This Row],[P (-shock)]]-2*Table1[[#This Row],[Ask Price]])/(2*Table1[[#This Row],[Ask Price]]*($AE$2^2))</f>
        <v>82.444164086312</v>
      </c>
    </row>
    <row r="738" spans="1:32" x14ac:dyDescent="0.25">
      <c r="A738" s="21" t="s">
        <v>1518</v>
      </c>
      <c r="B738" s="3" t="s">
        <v>1519</v>
      </c>
      <c r="C738" s="3" t="s">
        <v>19</v>
      </c>
      <c r="D738" s="4">
        <v>41624</v>
      </c>
      <c r="E738" s="4">
        <v>48929</v>
      </c>
      <c r="F738" s="3">
        <v>1000</v>
      </c>
      <c r="G738" s="3" t="s">
        <v>20</v>
      </c>
      <c r="H738" s="3">
        <v>1290</v>
      </c>
      <c r="I738" s="3" t="s">
        <v>20</v>
      </c>
      <c r="J738" s="3">
        <v>129</v>
      </c>
      <c r="K738" s="3">
        <v>330</v>
      </c>
      <c r="L738" s="5">
        <v>8.6599999999999996E-2</v>
      </c>
      <c r="M738" s="3" t="s">
        <v>21</v>
      </c>
      <c r="N738" s="3">
        <v>3012</v>
      </c>
      <c r="O738" s="6">
        <f>Table1[[#This Row],[Current coupon %]]*Table1[[#This Row],[Face value]]/Table1[[#This Row],[Ask Price]]</f>
        <v>6.7131782945736435E-2</v>
      </c>
      <c r="P738" s="3" t="s">
        <v>297</v>
      </c>
      <c r="Q738" s="3" t="s">
        <v>22</v>
      </c>
      <c r="R738">
        <f t="shared" si="11"/>
        <v>20</v>
      </c>
      <c r="S738" s="22" cm="1">
        <f t="array" ref="S738">_xlfn.IFS(Table1[[#This Row],[Coupon frequency]]="Semi-annual",2,Table1[[#This Row],[Coupon frequency]]="Quarterly",4,Table1[[#This Row],[Coupon frequency]]="Annual",1,Table1[[#This Row],[Coupon frequency]]="Every 4 months",3,Table1[[#This Row],[Coupon frequency]]="Monthly",12)</f>
        <v>1</v>
      </c>
      <c r="T738">
        <f>Table1[[#This Row],[Term to Maturity (Years)]]*Table1[[#This Row],[Coupon Frequency2]]</f>
        <v>20</v>
      </c>
      <c r="U738">
        <f>Table1[[#This Row],[Face value]]*Table1[[#This Row],[Current coupon %]]/Table1[[#This Row],[Coupon Frequency2]]</f>
        <v>86.6</v>
      </c>
      <c r="V738" s="23">
        <f>RATE(Table1[[#This Row],[Total No. of Coupons]],Table1[[#This Row],[Coupon Amount]],-Table1[[#This Row],[Ask Price]],Table1[[#This Row],[Face value]])</f>
        <v>6.1091902298419438E-2</v>
      </c>
      <c r="W738" s="24">
        <f>Table1[[#This Row],[IRR]]*Table1[[#This Row],[Coupon Frequency2]]</f>
        <v>6.1091902298419438E-2</v>
      </c>
      <c r="X738" s="25" cm="1">
        <f t="array" ref="X73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8" s="26">
        <f>DURATION(Table1[[#This Row],[Issue date]],Table1[[#This Row],[Maturity date]],Table1[[#This Row],[Current coupon %]],Table1[[#This Row],[Yield (Annualised)]],Table1[[#This Row],[Coupon Frequency2]])</f>
        <v>11.278841790030656</v>
      </c>
      <c r="Z738" s="26">
        <f>Table1[[#This Row],[Macaulay Duration in Years]]/(1+Table1[[#This Row],[IRR]])</f>
        <v>10.62946740579179</v>
      </c>
      <c r="AA738" s="27">
        <f>VLOOKUP(Table1[[#This Row],[Yield Cluster]],'[1]Cluster Details'!$B$3:$C$16,2,0)</f>
        <v>7.8548801574189142E-2</v>
      </c>
      <c r="AB738" s="28">
        <f>PRICE(Table1[[#This Row],[Issue date]],Table1[[#This Row],[Maturity date]],Table1[[#This Row],[Current coupon %]],Table1[[#This Row],[Average Cluster Yield]],100,Table1[[#This Row],[Coupon Frequency2]])*Table1[[#This Row],[Face value]]/100</f>
        <v>1079.9088621117508</v>
      </c>
      <c r="AC738" s="27" t="str">
        <f>IF(Table1[[#This Row],[Ask Price]]&gt;Table1[[#This Row],[Calculated Bond Price]],"Rich","Cheap")</f>
        <v>Rich</v>
      </c>
      <c r="AD738" s="28">
        <f>PRICE(Table1[[#This Row],[Issue date]],Table1[[#This Row],[Maturity date]],Table1[[#This Row],[Current coupon %]],Table1[[#This Row],[Yield (Annualised)]]+$AE$2,100,Table1[[#This Row],[Coupon Frequency2]])*Table1[[#This Row],[Face value]]/100</f>
        <v>1162.9079080448687</v>
      </c>
      <c r="AE738" s="28">
        <f>PRICE(Table1[[#This Row],[Issue date]],Table1[[#This Row],[Maturity date]],Table1[[#This Row],[Current coupon %]],Table1[[#This Row],[Yield (Annualised)]]-$AE$2,100,Table1[[#This Row],[Coupon Frequency2]])*Table1[[#This Row],[Face value]]/100</f>
        <v>1438.4410403332458</v>
      </c>
      <c r="AF738" s="28">
        <f>(Table1[[#This Row],[P (+ shock)]]+Table1[[#This Row],[P (-shock)]]-2*Table1[[#This Row],[Ask Price]])/(2*Table1[[#This Row],[Ask Price]]*($AE$2^2))</f>
        <v>82.747861930676464</v>
      </c>
    </row>
    <row r="739" spans="1:32" x14ac:dyDescent="0.25">
      <c r="A739" s="21" t="s">
        <v>1520</v>
      </c>
      <c r="B739" s="3" t="s">
        <v>1521</v>
      </c>
      <c r="C739" s="3" t="s">
        <v>19</v>
      </c>
      <c r="D739" s="4">
        <v>41590</v>
      </c>
      <c r="E739" s="4">
        <v>48895</v>
      </c>
      <c r="F739" s="3">
        <v>1000</v>
      </c>
      <c r="G739" s="3" t="s">
        <v>20</v>
      </c>
      <c r="H739" s="3">
        <v>1275</v>
      </c>
      <c r="I739" s="3" t="s">
        <v>20</v>
      </c>
      <c r="J739" s="3">
        <v>127.49999999999901</v>
      </c>
      <c r="K739" s="3">
        <v>19224</v>
      </c>
      <c r="L739" s="5">
        <v>8.5000000000000006E-2</v>
      </c>
      <c r="M739" s="3" t="s">
        <v>21</v>
      </c>
      <c r="N739" s="3">
        <v>2978</v>
      </c>
      <c r="O739" s="6">
        <f>Table1[[#This Row],[Current coupon %]]*Table1[[#This Row],[Face value]]/Table1[[#This Row],[Ask Price]]</f>
        <v>6.6666666666666666E-2</v>
      </c>
      <c r="P739" s="3" t="s">
        <v>54</v>
      </c>
      <c r="Q739" s="3" t="s">
        <v>22</v>
      </c>
      <c r="R739">
        <f t="shared" si="11"/>
        <v>20</v>
      </c>
      <c r="S739" s="22" cm="1">
        <f t="array" ref="S739">_xlfn.IFS(Table1[[#This Row],[Coupon frequency]]="Semi-annual",2,Table1[[#This Row],[Coupon frequency]]="Quarterly",4,Table1[[#This Row],[Coupon frequency]]="Annual",1,Table1[[#This Row],[Coupon frequency]]="Every 4 months",3,Table1[[#This Row],[Coupon frequency]]="Monthly",12)</f>
        <v>1</v>
      </c>
      <c r="T739">
        <f>Table1[[#This Row],[Term to Maturity (Years)]]*Table1[[#This Row],[Coupon Frequency2]]</f>
        <v>20</v>
      </c>
      <c r="U739">
        <f>Table1[[#This Row],[Face value]]*Table1[[#This Row],[Current coupon %]]/Table1[[#This Row],[Coupon Frequency2]]</f>
        <v>85</v>
      </c>
      <c r="V739" s="23">
        <f>RATE(Table1[[#This Row],[Total No. of Coupons]],Table1[[#This Row],[Coupon Amount]],-Table1[[#This Row],[Ask Price]],Table1[[#This Row],[Face value]])</f>
        <v>6.0857146019569569E-2</v>
      </c>
      <c r="W739" s="24">
        <f>Table1[[#This Row],[IRR]]*Table1[[#This Row],[Coupon Frequency2]]</f>
        <v>6.0857146019569569E-2</v>
      </c>
      <c r="X739" s="25" cm="1">
        <f t="array" ref="X73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39" s="26">
        <f>DURATION(Table1[[#This Row],[Issue date]],Table1[[#This Row],[Maturity date]],Table1[[#This Row],[Current coupon %]],Table1[[#This Row],[Yield (Annualised)]],Table1[[#This Row],[Coupon Frequency2]])</f>
        <v>11.328029559632196</v>
      </c>
      <c r="Z739" s="26">
        <f>Table1[[#This Row],[Macaulay Duration in Years]]/(1+Table1[[#This Row],[IRR]])</f>
        <v>10.67818565594432</v>
      </c>
      <c r="AA739" s="27">
        <f>VLOOKUP(Table1[[#This Row],[Yield Cluster]],'[1]Cluster Details'!$B$3:$C$16,2,0)</f>
        <v>7.8548801574189142E-2</v>
      </c>
      <c r="AB739" s="28">
        <f>PRICE(Table1[[#This Row],[Issue date]],Table1[[#This Row],[Maturity date]],Table1[[#This Row],[Current coupon %]],Table1[[#This Row],[Average Cluster Yield]],100,Table1[[#This Row],[Coupon Frequency2]])*Table1[[#This Row],[Face value]]/100</f>
        <v>1064.0287194774669</v>
      </c>
      <c r="AC739" s="27" t="str">
        <f>IF(Table1[[#This Row],[Ask Price]]&gt;Table1[[#This Row],[Calculated Bond Price]],"Rich","Cheap")</f>
        <v>Rich</v>
      </c>
      <c r="AD739" s="28">
        <f>PRICE(Table1[[#This Row],[Issue date]],Table1[[#This Row],[Maturity date]],Table1[[#This Row],[Current coupon %]],Table1[[#This Row],[Yield (Annualised)]]+$AE$2,100,Table1[[#This Row],[Coupon Frequency2]])*Table1[[#This Row],[Face value]]/100</f>
        <v>1148.8366031636167</v>
      </c>
      <c r="AE739" s="28">
        <f>PRICE(Table1[[#This Row],[Issue date]],Table1[[#This Row],[Maturity date]],Table1[[#This Row],[Current coupon %]],Table1[[#This Row],[Yield (Annualised)]]-$AE$2,100,Table1[[#This Row],[Coupon Frequency2]])*Table1[[#This Row],[Face value]]/100</f>
        <v>1422.4199534584936</v>
      </c>
      <c r="AF739" s="28">
        <f>(Table1[[#This Row],[P (+ shock)]]+Table1[[#This Row],[P (-shock)]]-2*Table1[[#This Row],[Ask Price]])/(2*Table1[[#This Row],[Ask Price]]*($AE$2^2))</f>
        <v>83.359045576902389</v>
      </c>
    </row>
    <row r="740" spans="1:32" x14ac:dyDescent="0.25">
      <c r="A740" s="21" t="s">
        <v>1522</v>
      </c>
      <c r="B740" s="3" t="s">
        <v>1523</v>
      </c>
      <c r="C740" s="3" t="s">
        <v>19</v>
      </c>
      <c r="D740" s="4">
        <v>42313</v>
      </c>
      <c r="E740" s="4">
        <v>47792</v>
      </c>
      <c r="F740" s="3">
        <v>1000</v>
      </c>
      <c r="G740" s="3" t="s">
        <v>20</v>
      </c>
      <c r="H740" s="3">
        <v>1064.01</v>
      </c>
      <c r="I740" s="3" t="s">
        <v>20</v>
      </c>
      <c r="J740" s="3">
        <v>106.401</v>
      </c>
      <c r="K740" s="3">
        <v>50</v>
      </c>
      <c r="L740" s="5">
        <v>7.0900000000000005E-2</v>
      </c>
      <c r="M740" s="3" t="s">
        <v>21</v>
      </c>
      <c r="N740" s="3">
        <v>1875</v>
      </c>
      <c r="O740" s="6">
        <f>Table1[[#This Row],[Current coupon %]]*Table1[[#This Row],[Face value]]/Table1[[#This Row],[Ask Price]]</f>
        <v>6.6634712079773686E-2</v>
      </c>
      <c r="P740" s="3"/>
      <c r="Q740" s="3" t="s">
        <v>22</v>
      </c>
      <c r="R740">
        <f t="shared" si="11"/>
        <v>15</v>
      </c>
      <c r="S740" s="22" cm="1">
        <f t="array" ref="S740">_xlfn.IFS(Table1[[#This Row],[Coupon frequency]]="Semi-annual",2,Table1[[#This Row],[Coupon frequency]]="Quarterly",4,Table1[[#This Row],[Coupon frequency]]="Annual",1,Table1[[#This Row],[Coupon frequency]]="Every 4 months",3,Table1[[#This Row],[Coupon frequency]]="Monthly",12)</f>
        <v>1</v>
      </c>
      <c r="T740">
        <f>Table1[[#This Row],[Term to Maturity (Years)]]*Table1[[#This Row],[Coupon Frequency2]]</f>
        <v>15</v>
      </c>
      <c r="U740">
        <f>Table1[[#This Row],[Face value]]*Table1[[#This Row],[Current coupon %]]/Table1[[#This Row],[Coupon Frequency2]]</f>
        <v>70.900000000000006</v>
      </c>
      <c r="V740" s="23">
        <f>RATE(Table1[[#This Row],[Total No. of Coupons]],Table1[[#This Row],[Coupon Amount]],-Table1[[#This Row],[Ask Price]],Table1[[#This Row],[Face value]])</f>
        <v>6.4130340896434448E-2</v>
      </c>
      <c r="W740" s="24">
        <f>Table1[[#This Row],[IRR]]*Table1[[#This Row],[Coupon Frequency2]]</f>
        <v>6.4130340896434448E-2</v>
      </c>
      <c r="X740" s="25" cm="1">
        <f t="array" ref="X74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0" s="26">
        <f>DURATION(Table1[[#This Row],[Issue date]],Table1[[#This Row],[Maturity date]],Table1[[#This Row],[Current coupon %]],Table1[[#This Row],[Yield (Annualised)]],Table1[[#This Row],[Coupon Frequency2]])</f>
        <v>9.8689611917015689</v>
      </c>
      <c r="Z740" s="26">
        <f>Table1[[#This Row],[Macaulay Duration in Years]]/(1+Table1[[#This Row],[IRR]])</f>
        <v>9.2742033681586911</v>
      </c>
      <c r="AA740" s="27">
        <f>VLOOKUP(Table1[[#This Row],[Yield Cluster]],'[1]Cluster Details'!$B$3:$C$16,2,0)</f>
        <v>7.8548801574189142E-2</v>
      </c>
      <c r="AB740" s="28">
        <f>PRICE(Table1[[#This Row],[Issue date]],Table1[[#This Row],[Maturity date]],Table1[[#This Row],[Current coupon %]],Table1[[#This Row],[Average Cluster Yield]],100,Table1[[#This Row],[Coupon Frequency2]])*Table1[[#This Row],[Face value]]/100</f>
        <v>933.94610303063712</v>
      </c>
      <c r="AC740" s="27" t="str">
        <f>IF(Table1[[#This Row],[Ask Price]]&gt;Table1[[#This Row],[Calculated Bond Price]],"Rich","Cheap")</f>
        <v>Rich</v>
      </c>
      <c r="AD740" s="28">
        <f>PRICE(Table1[[#This Row],[Issue date]],Table1[[#This Row],[Maturity date]],Table1[[#This Row],[Current coupon %]],Table1[[#This Row],[Yield (Annualised)]]+$AE$2,100,Table1[[#This Row],[Coupon Frequency2]])*Table1[[#This Row],[Face value]]/100</f>
        <v>971.33075075479462</v>
      </c>
      <c r="AE740" s="28">
        <f>PRICE(Table1[[#This Row],[Issue date]],Table1[[#This Row],[Maturity date]],Table1[[#This Row],[Current coupon %]],Table1[[#This Row],[Yield (Annualised)]]-$AE$2,100,Table1[[#This Row],[Coupon Frequency2]])*Table1[[#This Row],[Face value]]/100</f>
        <v>1169.303913788716</v>
      </c>
      <c r="AF740" s="28">
        <f>(Table1[[#This Row],[P (+ shock)]]+Table1[[#This Row],[P (-shock)]]-2*Table1[[#This Row],[Ask Price]])/(2*Table1[[#This Row],[Ask Price]]*($AE$2^2))</f>
        <v>59.278881511971548</v>
      </c>
    </row>
    <row r="741" spans="1:32" x14ac:dyDescent="0.25">
      <c r="A741" s="21" t="s">
        <v>1524</v>
      </c>
      <c r="B741" s="3" t="s">
        <v>1525</v>
      </c>
      <c r="C741" s="3" t="s">
        <v>19</v>
      </c>
      <c r="D741" s="4">
        <v>41324</v>
      </c>
      <c r="E741" s="4">
        <v>46802</v>
      </c>
      <c r="F741" s="3">
        <v>1000</v>
      </c>
      <c r="G741" s="3" t="s">
        <v>20</v>
      </c>
      <c r="H741" s="3">
        <v>1102.05</v>
      </c>
      <c r="I741" s="3" t="s">
        <v>20</v>
      </c>
      <c r="J741" s="3">
        <v>110.205</v>
      </c>
      <c r="K741" s="3">
        <v>15</v>
      </c>
      <c r="L741" s="5">
        <v>7.3399999999999993E-2</v>
      </c>
      <c r="M741" s="3" t="s">
        <v>21</v>
      </c>
      <c r="N741" s="3">
        <v>885</v>
      </c>
      <c r="O741" s="6">
        <f>Table1[[#This Row],[Current coupon %]]*Table1[[#This Row],[Face value]]/Table1[[#This Row],[Ask Price]]</f>
        <v>6.6603148677464724E-2</v>
      </c>
      <c r="P741" s="3" t="s">
        <v>297</v>
      </c>
      <c r="Q741" s="3" t="s">
        <v>22</v>
      </c>
      <c r="R741">
        <f t="shared" si="11"/>
        <v>15</v>
      </c>
      <c r="S741" s="22" cm="1">
        <f t="array" ref="S741">_xlfn.IFS(Table1[[#This Row],[Coupon frequency]]="Semi-annual",2,Table1[[#This Row],[Coupon frequency]]="Quarterly",4,Table1[[#This Row],[Coupon frequency]]="Annual",1,Table1[[#This Row],[Coupon frequency]]="Every 4 months",3,Table1[[#This Row],[Coupon frequency]]="Monthly",12)</f>
        <v>1</v>
      </c>
      <c r="T741">
        <f>Table1[[#This Row],[Term to Maturity (Years)]]*Table1[[#This Row],[Coupon Frequency2]]</f>
        <v>15</v>
      </c>
      <c r="U741">
        <f>Table1[[#This Row],[Face value]]*Table1[[#This Row],[Current coupon %]]/Table1[[#This Row],[Coupon Frequency2]]</f>
        <v>73.399999999999991</v>
      </c>
      <c r="V741" s="23">
        <f>RATE(Table1[[#This Row],[Total No. of Coupons]],Table1[[#This Row],[Coupon Amount]],-Table1[[#This Row],[Ask Price]],Table1[[#This Row],[Face value]])</f>
        <v>6.2706078558828454E-2</v>
      </c>
      <c r="W741" s="24">
        <f>Table1[[#This Row],[IRR]]*Table1[[#This Row],[Coupon Frequency2]]</f>
        <v>6.2706078558828454E-2</v>
      </c>
      <c r="X741" s="25" cm="1">
        <f t="array" ref="X74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1" s="26">
        <f>DURATION(Table1[[#This Row],[Issue date]],Table1[[#This Row],[Maturity date]],Table1[[#This Row],[Current coupon %]],Table1[[#This Row],[Yield (Annualised)]],Table1[[#This Row],[Coupon Frequency2]])</f>
        <v>9.8392302571370607</v>
      </c>
      <c r="Z741" s="26">
        <f>Table1[[#This Row],[Macaulay Duration in Years]]/(1+Table1[[#This Row],[IRR]])</f>
        <v>9.2586562320979411</v>
      </c>
      <c r="AA741" s="27">
        <f>VLOOKUP(Table1[[#This Row],[Yield Cluster]],'[1]Cluster Details'!$B$3:$C$16,2,0)</f>
        <v>7.8548801574189142E-2</v>
      </c>
      <c r="AB741" s="28">
        <f>PRICE(Table1[[#This Row],[Issue date]],Table1[[#This Row],[Maturity date]],Table1[[#This Row],[Current coupon %]],Table1[[#This Row],[Average Cluster Yield]],100,Table1[[#This Row],[Coupon Frequency2]])*Table1[[#This Row],[Face value]]/100</f>
        <v>955.53572603519433</v>
      </c>
      <c r="AC741" s="27" t="str">
        <f>IF(Table1[[#This Row],[Ask Price]]&gt;Table1[[#This Row],[Calculated Bond Price]],"Rich","Cheap")</f>
        <v>Rich</v>
      </c>
      <c r="AD741" s="28">
        <f>PRICE(Table1[[#This Row],[Issue date]],Table1[[#This Row],[Maturity date]],Table1[[#This Row],[Current coupon %]],Table1[[#This Row],[Yield (Annualised)]]+$AE$2,100,Table1[[#This Row],[Coupon Frequency2]])*Table1[[#This Row],[Face value]]/100</f>
        <v>1006.2135552948745</v>
      </c>
      <c r="AE741" s="28">
        <f>PRICE(Table1[[#This Row],[Issue date]],Table1[[#This Row],[Maturity date]],Table1[[#This Row],[Current coupon %]],Table1[[#This Row],[Yield (Annualised)]]-$AE$2,100,Table1[[#This Row],[Coupon Frequency2]])*Table1[[#This Row],[Face value]]/100</f>
        <v>1210.9202911828843</v>
      </c>
      <c r="AF741" s="28">
        <f>(Table1[[#This Row],[P (+ shock)]]+Table1[[#This Row],[P (-shock)]]-2*Table1[[#This Row],[Ask Price]])/(2*Table1[[#This Row],[Ask Price]]*($AE$2^2))</f>
        <v>59.134551416717677</v>
      </c>
    </row>
    <row r="742" spans="1:32" x14ac:dyDescent="0.25">
      <c r="A742" s="21" t="s">
        <v>1526</v>
      </c>
      <c r="B742" s="3" t="s">
        <v>1527</v>
      </c>
      <c r="C742" s="3" t="s">
        <v>19</v>
      </c>
      <c r="D742" s="4">
        <v>41361</v>
      </c>
      <c r="E742" s="4">
        <v>46840</v>
      </c>
      <c r="F742" s="3">
        <v>1000</v>
      </c>
      <c r="G742" s="3" t="s">
        <v>20</v>
      </c>
      <c r="H742" s="3">
        <v>1061.0999999999999</v>
      </c>
      <c r="I742" s="3" t="s">
        <v>20</v>
      </c>
      <c r="J742" s="3">
        <v>106.11</v>
      </c>
      <c r="K742" s="3">
        <v>10</v>
      </c>
      <c r="L742" s="5">
        <v>7.0400000000000004E-2</v>
      </c>
      <c r="M742" s="3" t="s">
        <v>21</v>
      </c>
      <c r="N742" s="3">
        <v>923</v>
      </c>
      <c r="O742" s="6">
        <f>Table1[[#This Row],[Current coupon %]]*Table1[[#This Row],[Face value]]/Table1[[#This Row],[Ask Price]]</f>
        <v>6.6346244463292819E-2</v>
      </c>
      <c r="P742" s="3" t="s">
        <v>54</v>
      </c>
      <c r="Q742" s="3" t="s">
        <v>22</v>
      </c>
      <c r="R742">
        <f t="shared" si="11"/>
        <v>15</v>
      </c>
      <c r="S742" s="22" cm="1">
        <f t="array" ref="S742">_xlfn.IFS(Table1[[#This Row],[Coupon frequency]]="Semi-annual",2,Table1[[#This Row],[Coupon frequency]]="Quarterly",4,Table1[[#This Row],[Coupon frequency]]="Annual",1,Table1[[#This Row],[Coupon frequency]]="Every 4 months",3,Table1[[#This Row],[Coupon frequency]]="Monthly",12)</f>
        <v>1</v>
      </c>
      <c r="T742">
        <f>Table1[[#This Row],[Term to Maturity (Years)]]*Table1[[#This Row],[Coupon Frequency2]]</f>
        <v>15</v>
      </c>
      <c r="U742">
        <f>Table1[[#This Row],[Face value]]*Table1[[#This Row],[Current coupon %]]/Table1[[#This Row],[Coupon Frequency2]]</f>
        <v>70.400000000000006</v>
      </c>
      <c r="V742" s="23">
        <f>RATE(Table1[[#This Row],[Total No. of Coupons]],Table1[[#This Row],[Coupon Amount]],-Table1[[#This Row],[Ask Price]],Table1[[#This Row],[Face value]])</f>
        <v>6.3945782565482404E-2</v>
      </c>
      <c r="W742" s="24">
        <f>Table1[[#This Row],[IRR]]*Table1[[#This Row],[Coupon Frequency2]]</f>
        <v>6.3945782565482404E-2</v>
      </c>
      <c r="X742" s="25" cm="1">
        <f t="array" ref="X74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2" s="26">
        <f>DURATION(Table1[[#This Row],[Issue date]],Table1[[#This Row],[Maturity date]],Table1[[#This Row],[Current coupon %]],Table1[[#This Row],[Yield (Annualised)]],Table1[[#This Row],[Coupon Frequency2]])</f>
        <v>9.8870413661217142</v>
      </c>
      <c r="Z742" s="26">
        <f>Table1[[#This Row],[Macaulay Duration in Years]]/(1+Table1[[#This Row],[IRR]])</f>
        <v>9.2928056374086889</v>
      </c>
      <c r="AA742" s="27">
        <f>VLOOKUP(Table1[[#This Row],[Yield Cluster]],'[1]Cluster Details'!$B$3:$C$16,2,0)</f>
        <v>7.8548801574189142E-2</v>
      </c>
      <c r="AB742" s="28">
        <f>PRICE(Table1[[#This Row],[Issue date]],Table1[[#This Row],[Maturity date]],Table1[[#This Row],[Current coupon %]],Table1[[#This Row],[Average Cluster Yield]],100,Table1[[#This Row],[Coupon Frequency2]])*Table1[[#This Row],[Face value]]/100</f>
        <v>929.62817842972549</v>
      </c>
      <c r="AC742" s="27" t="str">
        <f>IF(Table1[[#This Row],[Ask Price]]&gt;Table1[[#This Row],[Calculated Bond Price]],"Rich","Cheap")</f>
        <v>Rich</v>
      </c>
      <c r="AD742" s="28">
        <f>PRICE(Table1[[#This Row],[Issue date]],Table1[[#This Row],[Maturity date]],Table1[[#This Row],[Current coupon %]],Table1[[#This Row],[Yield (Annualised)]]+$AE$2,100,Table1[[#This Row],[Coupon Frequency2]])*Table1[[#This Row],[Face value]]/100</f>
        <v>968.49500271853128</v>
      </c>
      <c r="AE742" s="28">
        <f>PRICE(Table1[[#This Row],[Issue date]],Table1[[#This Row],[Maturity date]],Table1[[#This Row],[Current coupon %]],Table1[[#This Row],[Yield (Annualised)]]-$AE$2,100,Table1[[#This Row],[Coupon Frequency2]])*Table1[[#This Row],[Face value]]/100</f>
        <v>1166.3238027176417</v>
      </c>
      <c r="AF742" s="28">
        <f>(Table1[[#This Row],[P (+ shock)]]+Table1[[#This Row],[P (-shock)]]-2*Table1[[#This Row],[Ask Price]])/(2*Table1[[#This Row],[Ask Price]]*($AE$2^2))</f>
        <v>59.460962379480073</v>
      </c>
    </row>
    <row r="743" spans="1:32" x14ac:dyDescent="0.25">
      <c r="A743" s="21" t="s">
        <v>1528</v>
      </c>
      <c r="B743" s="3" t="s">
        <v>1529</v>
      </c>
      <c r="C743" s="3" t="s">
        <v>19</v>
      </c>
      <c r="D743" s="4">
        <v>41359</v>
      </c>
      <c r="E743" s="4">
        <v>46838</v>
      </c>
      <c r="F743" s="3">
        <v>1000</v>
      </c>
      <c r="G743" s="3" t="s">
        <v>20</v>
      </c>
      <c r="H743" s="3">
        <v>1063.95</v>
      </c>
      <c r="I743" s="3" t="s">
        <v>20</v>
      </c>
      <c r="J743" s="3">
        <v>106.395</v>
      </c>
      <c r="K743" s="3">
        <v>3</v>
      </c>
      <c r="L743" s="5">
        <v>7.0199999999999999E-2</v>
      </c>
      <c r="M743" s="3" t="s">
        <v>21</v>
      </c>
      <c r="N743" s="3">
        <v>921</v>
      </c>
      <c r="O743" s="6">
        <f>Table1[[#This Row],[Current coupon %]]*Table1[[#This Row],[Face value]]/Table1[[#This Row],[Ask Price]]</f>
        <v>6.5980544198505575E-2</v>
      </c>
      <c r="P743" s="3" t="s">
        <v>54</v>
      </c>
      <c r="Q743" s="3" t="s">
        <v>22</v>
      </c>
      <c r="R743">
        <f t="shared" si="11"/>
        <v>15</v>
      </c>
      <c r="S743" s="22" cm="1">
        <f t="array" ref="S743">_xlfn.IFS(Table1[[#This Row],[Coupon frequency]]="Semi-annual",2,Table1[[#This Row],[Coupon frequency]]="Quarterly",4,Table1[[#This Row],[Coupon frequency]]="Annual",1,Table1[[#This Row],[Coupon frequency]]="Every 4 months",3,Table1[[#This Row],[Coupon frequency]]="Monthly",12)</f>
        <v>1</v>
      </c>
      <c r="T743">
        <f>Table1[[#This Row],[Term to Maturity (Years)]]*Table1[[#This Row],[Coupon Frequency2]]</f>
        <v>15</v>
      </c>
      <c r="U743">
        <f>Table1[[#This Row],[Face value]]*Table1[[#This Row],[Current coupon %]]/Table1[[#This Row],[Coupon Frequency2]]</f>
        <v>70.2</v>
      </c>
      <c r="V743" s="23">
        <f>RATE(Table1[[#This Row],[Total No. of Coupons]],Table1[[#This Row],[Coupon Amount]],-Table1[[#This Row],[Ask Price]],Table1[[#This Row],[Face value]])</f>
        <v>6.3465623106797819E-2</v>
      </c>
      <c r="W743" s="24">
        <f>Table1[[#This Row],[IRR]]*Table1[[#This Row],[Coupon Frequency2]]</f>
        <v>6.3465623106797819E-2</v>
      </c>
      <c r="X743" s="25" cm="1">
        <f t="array" ref="X74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3" s="26">
        <f>DURATION(Table1[[#This Row],[Issue date]],Table1[[#This Row],[Maturity date]],Table1[[#This Row],[Current coupon %]],Table1[[#This Row],[Yield (Annualised)]],Table1[[#This Row],[Coupon Frequency2]])</f>
        <v>9.9045055551705765</v>
      </c>
      <c r="Z743" s="26">
        <f>Table1[[#This Row],[Macaulay Duration in Years]]/(1+Table1[[#This Row],[IRR]])</f>
        <v>9.3134233396615613</v>
      </c>
      <c r="AA743" s="27">
        <f>VLOOKUP(Table1[[#This Row],[Yield Cluster]],'[1]Cluster Details'!$B$3:$C$16,2,0)</f>
        <v>7.8548801574189142E-2</v>
      </c>
      <c r="AB743" s="28">
        <f>PRICE(Table1[[#This Row],[Issue date]],Table1[[#This Row],[Maturity date]],Table1[[#This Row],[Current coupon %]],Table1[[#This Row],[Average Cluster Yield]],100,Table1[[#This Row],[Coupon Frequency2]])*Table1[[#This Row],[Face value]]/100</f>
        <v>927.90100858936103</v>
      </c>
      <c r="AC743" s="27" t="str">
        <f>IF(Table1[[#This Row],[Ask Price]]&gt;Table1[[#This Row],[Calculated Bond Price]],"Rich","Cheap")</f>
        <v>Rich</v>
      </c>
      <c r="AD743" s="28">
        <f>PRICE(Table1[[#This Row],[Issue date]],Table1[[#This Row],[Maturity date]],Table1[[#This Row],[Current coupon %]],Table1[[#This Row],[Yield (Annualised)]]+$AE$2,100,Table1[[#This Row],[Coupon Frequency2]])*Table1[[#This Row],[Face value]]/100</f>
        <v>970.8972456112017</v>
      </c>
      <c r="AE743" s="28">
        <f>PRICE(Table1[[#This Row],[Issue date]],Table1[[#This Row],[Maturity date]],Table1[[#This Row],[Current coupon %]],Table1[[#This Row],[Yield (Annualised)]]-$AE$2,100,Table1[[#This Row],[Coupon Frequency2]])*Table1[[#This Row],[Face value]]/100</f>
        <v>1169.6987511934849</v>
      </c>
      <c r="AF743" s="28">
        <f>(Table1[[#This Row],[P (+ shock)]]+Table1[[#This Row],[P (-shock)]]-2*Table1[[#This Row],[Ask Price]])/(2*Table1[[#This Row],[Ask Price]]*($AE$2^2))</f>
        <v>59.664442899977786</v>
      </c>
    </row>
    <row r="744" spans="1:32" x14ac:dyDescent="0.25">
      <c r="A744" s="21" t="s">
        <v>1530</v>
      </c>
      <c r="B744" s="3" t="s">
        <v>1531</v>
      </c>
      <c r="C744" s="3" t="s">
        <v>19</v>
      </c>
      <c r="D744" s="4">
        <v>42282</v>
      </c>
      <c r="E744" s="4">
        <v>47761</v>
      </c>
      <c r="F744" s="3">
        <v>1000</v>
      </c>
      <c r="G744" s="3" t="s">
        <v>20</v>
      </c>
      <c r="H744" s="3">
        <v>1145.24</v>
      </c>
      <c r="I744" s="3" t="s">
        <v>20</v>
      </c>
      <c r="J744" s="3">
        <v>114.524</v>
      </c>
      <c r="K744" s="3">
        <v>1</v>
      </c>
      <c r="L744" s="5">
        <v>7.5300000000000006E-2</v>
      </c>
      <c r="M744" s="3" t="s">
        <v>21</v>
      </c>
      <c r="N744" s="3">
        <v>1844</v>
      </c>
      <c r="O744" s="6">
        <f>Table1[[#This Row],[Current coupon %]]*Table1[[#This Row],[Face value]]/Table1[[#This Row],[Ask Price]]</f>
        <v>6.575041039432783E-2</v>
      </c>
      <c r="P744" s="3" t="s">
        <v>297</v>
      </c>
      <c r="Q744" s="3" t="s">
        <v>22</v>
      </c>
      <c r="R744">
        <f t="shared" si="11"/>
        <v>15</v>
      </c>
      <c r="S744" s="22" cm="1">
        <f t="array" ref="S744">_xlfn.IFS(Table1[[#This Row],[Coupon frequency]]="Semi-annual",2,Table1[[#This Row],[Coupon frequency]]="Quarterly",4,Table1[[#This Row],[Coupon frequency]]="Annual",1,Table1[[#This Row],[Coupon frequency]]="Every 4 months",3,Table1[[#This Row],[Coupon frequency]]="Monthly",12)</f>
        <v>1</v>
      </c>
      <c r="T744">
        <f>Table1[[#This Row],[Term to Maturity (Years)]]*Table1[[#This Row],[Coupon Frequency2]]</f>
        <v>15</v>
      </c>
      <c r="U744">
        <f>Table1[[#This Row],[Face value]]*Table1[[#This Row],[Current coupon %]]/Table1[[#This Row],[Coupon Frequency2]]</f>
        <v>75.300000000000011</v>
      </c>
      <c r="V744" s="23">
        <f>RATE(Table1[[#This Row],[Total No. of Coupons]],Table1[[#This Row],[Coupon Amount]],-Table1[[#This Row],[Ask Price]],Table1[[#This Row],[Face value]])</f>
        <v>6.0314903541242387E-2</v>
      </c>
      <c r="W744" s="24">
        <f>Table1[[#This Row],[IRR]]*Table1[[#This Row],[Coupon Frequency2]]</f>
        <v>6.0314903541242387E-2</v>
      </c>
      <c r="X744" s="25" cm="1">
        <f t="array" ref="X74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4" s="26">
        <f>DURATION(Table1[[#This Row],[Issue date]],Table1[[#This Row],[Maturity date]],Table1[[#This Row],[Current coupon %]],Table1[[#This Row],[Yield (Annualised)]],Table1[[#This Row],[Coupon Frequency2]])</f>
        <v>9.8512452487138304</v>
      </c>
      <c r="Z744" s="26">
        <f>Table1[[#This Row],[Macaulay Duration in Years]]/(1+Table1[[#This Row],[IRR]])</f>
        <v>9.2908674732502732</v>
      </c>
      <c r="AA744" s="27">
        <f>VLOOKUP(Table1[[#This Row],[Yield Cluster]],'[1]Cluster Details'!$B$3:$C$16,2,0)</f>
        <v>7.8548801574189142E-2</v>
      </c>
      <c r="AB744" s="28">
        <f>PRICE(Table1[[#This Row],[Issue date]],Table1[[#This Row],[Maturity date]],Table1[[#This Row],[Current coupon %]],Table1[[#This Row],[Average Cluster Yield]],100,Table1[[#This Row],[Coupon Frequency2]])*Table1[[#This Row],[Face value]]/100</f>
        <v>971.94383951865836</v>
      </c>
      <c r="AC744" s="27" t="str">
        <f>IF(Table1[[#This Row],[Ask Price]]&gt;Table1[[#This Row],[Calculated Bond Price]],"Rich","Cheap")</f>
        <v>Rich</v>
      </c>
      <c r="AD744" s="28">
        <f>PRICE(Table1[[#This Row],[Issue date]],Table1[[#This Row],[Maturity date]],Table1[[#This Row],[Current coupon %]],Table1[[#This Row],[Yield (Annualised)]]+$AE$2,100,Table1[[#This Row],[Coupon Frequency2]])*Table1[[#This Row],[Face value]]/100</f>
        <v>1045.3136602510983</v>
      </c>
      <c r="AE744" s="28">
        <f>PRICE(Table1[[#This Row],[Issue date]],Table1[[#This Row],[Maturity date]],Table1[[#This Row],[Current coupon %]],Table1[[#This Row],[Yield (Annualised)]]-$AE$2,100,Table1[[#This Row],[Coupon Frequency2]])*Table1[[#This Row],[Face value]]/100</f>
        <v>1258.7856291752496</v>
      </c>
      <c r="AF744" s="28">
        <f>(Table1[[#This Row],[P (+ shock)]]+Table1[[#This Row],[P (-shock)]]-2*Table1[[#This Row],[Ask Price]])/(2*Table1[[#This Row],[Ask Price]]*($AE$2^2))</f>
        <v>59.460416272345235</v>
      </c>
    </row>
    <row r="745" spans="1:32" x14ac:dyDescent="0.25">
      <c r="A745" s="21" t="s">
        <v>1532</v>
      </c>
      <c r="B745" s="3" t="s">
        <v>1533</v>
      </c>
      <c r="C745" s="3" t="s">
        <v>19</v>
      </c>
      <c r="D745" s="4">
        <v>42451</v>
      </c>
      <c r="E745" s="4">
        <v>47929</v>
      </c>
      <c r="F745" s="3">
        <v>1000</v>
      </c>
      <c r="G745" s="3" t="s">
        <v>20</v>
      </c>
      <c r="H745" s="3">
        <v>1163.01</v>
      </c>
      <c r="I745" s="3" t="s">
        <v>20</v>
      </c>
      <c r="J745" s="3">
        <v>116.301</v>
      </c>
      <c r="K745" s="3">
        <v>1975</v>
      </c>
      <c r="L745" s="5">
        <v>7.6399999999999996E-2</v>
      </c>
      <c r="M745" s="3" t="s">
        <v>21</v>
      </c>
      <c r="N745" s="3">
        <v>2012</v>
      </c>
      <c r="O745" s="6">
        <f>Table1[[#This Row],[Current coupon %]]*Table1[[#This Row],[Face value]]/Table1[[#This Row],[Ask Price]]</f>
        <v>6.5691610562247954E-2</v>
      </c>
      <c r="P745" s="3" t="s">
        <v>297</v>
      </c>
      <c r="Q745" s="3" t="s">
        <v>22</v>
      </c>
      <c r="R745">
        <f t="shared" si="11"/>
        <v>15</v>
      </c>
      <c r="S745" s="22" cm="1">
        <f t="array" ref="S745">_xlfn.IFS(Table1[[#This Row],[Coupon frequency]]="Semi-annual",2,Table1[[#This Row],[Coupon frequency]]="Quarterly",4,Table1[[#This Row],[Coupon frequency]]="Annual",1,Table1[[#This Row],[Coupon frequency]]="Every 4 months",3,Table1[[#This Row],[Coupon frequency]]="Monthly",12)</f>
        <v>1</v>
      </c>
      <c r="T745">
        <f>Table1[[#This Row],[Term to Maturity (Years)]]*Table1[[#This Row],[Coupon Frequency2]]</f>
        <v>15</v>
      </c>
      <c r="U745">
        <f>Table1[[#This Row],[Face value]]*Table1[[#This Row],[Current coupon %]]/Table1[[#This Row],[Coupon Frequency2]]</f>
        <v>76.399999999999991</v>
      </c>
      <c r="V745" s="23">
        <f>RATE(Table1[[#This Row],[Total No. of Coupons]],Table1[[#This Row],[Coupon Amount]],-Table1[[#This Row],[Ask Price]],Table1[[#This Row],[Face value]])</f>
        <v>5.9653967040672981E-2</v>
      </c>
      <c r="W745" s="24">
        <f>Table1[[#This Row],[IRR]]*Table1[[#This Row],[Coupon Frequency2]]</f>
        <v>5.9653967040672981E-2</v>
      </c>
      <c r="X745" s="25" cm="1">
        <f t="array" ref="X74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5" s="26">
        <f>DURATION(Table1[[#This Row],[Issue date]],Table1[[#This Row],[Maturity date]],Table1[[#This Row],[Current coupon %]],Table1[[#This Row],[Yield (Annualised)]],Table1[[#This Row],[Coupon Frequency2]])</f>
        <v>9.8407512483549962</v>
      </c>
      <c r="Z745" s="26">
        <f>Table1[[#This Row],[Macaulay Duration in Years]]/(1+Table1[[#This Row],[IRR]])</f>
        <v>9.2867592199343658</v>
      </c>
      <c r="AA745" s="27">
        <f>VLOOKUP(Table1[[#This Row],[Yield Cluster]],'[1]Cluster Details'!$B$3:$C$16,2,0)</f>
        <v>7.8548801574189142E-2</v>
      </c>
      <c r="AB745" s="28">
        <f>PRICE(Table1[[#This Row],[Issue date]],Table1[[#This Row],[Maturity date]],Table1[[#This Row],[Current coupon %]],Table1[[#This Row],[Average Cluster Yield]],100,Table1[[#This Row],[Coupon Frequency2]])*Table1[[#This Row],[Face value]]/100</f>
        <v>981.44327364066351</v>
      </c>
      <c r="AC745" s="27" t="str">
        <f>IF(Table1[[#This Row],[Ask Price]]&gt;Table1[[#This Row],[Calculated Bond Price]],"Rich","Cheap")</f>
        <v>Rich</v>
      </c>
      <c r="AD745" s="28">
        <f>PRICE(Table1[[#This Row],[Issue date]],Table1[[#This Row],[Maturity date]],Table1[[#This Row],[Current coupon %]],Table1[[#This Row],[Yield (Annualised)]]+$AE$2,100,Table1[[#This Row],[Coupon Frequency2]])*Table1[[#This Row],[Face value]]/100</f>
        <v>1061.5768021463</v>
      </c>
      <c r="AE745" s="28">
        <f>PRICE(Table1[[#This Row],[Issue date]],Table1[[#This Row],[Maturity date]],Table1[[#This Row],[Current coupon %]],Table1[[#This Row],[Yield (Annualised)]]-$AE$2,100,Table1[[#This Row],[Coupon Frequency2]])*Table1[[#This Row],[Face value]]/100</f>
        <v>1278.265146682601</v>
      </c>
      <c r="AF745" s="28">
        <f>(Table1[[#This Row],[P (+ shock)]]+Table1[[#This Row],[P (-shock)]]-2*Table1[[#This Row],[Ask Price]])/(2*Table1[[#This Row],[Ask Price]]*($AE$2^2))</f>
        <v>59.423172753892857</v>
      </c>
    </row>
    <row r="746" spans="1:32" x14ac:dyDescent="0.25">
      <c r="A746" s="21" t="s">
        <v>1534</v>
      </c>
      <c r="B746" s="3" t="s">
        <v>1535</v>
      </c>
      <c r="C746" s="3" t="s">
        <v>19</v>
      </c>
      <c r="D746" s="4">
        <v>42294</v>
      </c>
      <c r="E746" s="4">
        <v>47773</v>
      </c>
      <c r="F746" s="3">
        <v>1000</v>
      </c>
      <c r="G746" s="3" t="s">
        <v>20</v>
      </c>
      <c r="H746" s="3">
        <v>1145.01</v>
      </c>
      <c r="I746" s="3" t="s">
        <v>20</v>
      </c>
      <c r="J746" s="3">
        <v>114.501</v>
      </c>
      <c r="K746" s="3">
        <v>1</v>
      </c>
      <c r="L746" s="5">
        <v>7.5199999999999989E-2</v>
      </c>
      <c r="M746" s="3" t="s">
        <v>21</v>
      </c>
      <c r="N746" s="3">
        <v>1856</v>
      </c>
      <c r="O746" s="6">
        <f>Table1[[#This Row],[Current coupon %]]*Table1[[#This Row],[Face value]]/Table1[[#This Row],[Ask Price]]</f>
        <v>6.567628230321132E-2</v>
      </c>
      <c r="P746" s="3" t="s">
        <v>54</v>
      </c>
      <c r="Q746" s="3" t="s">
        <v>22</v>
      </c>
      <c r="R746">
        <f t="shared" si="11"/>
        <v>15</v>
      </c>
      <c r="S746" s="22" cm="1">
        <f t="array" ref="S746">_xlfn.IFS(Table1[[#This Row],[Coupon frequency]]="Semi-annual",2,Table1[[#This Row],[Coupon frequency]]="Quarterly",4,Table1[[#This Row],[Coupon frequency]]="Annual",1,Table1[[#This Row],[Coupon frequency]]="Every 4 months",3,Table1[[#This Row],[Coupon frequency]]="Monthly",12)</f>
        <v>1</v>
      </c>
      <c r="T746">
        <f>Table1[[#This Row],[Term to Maturity (Years)]]*Table1[[#This Row],[Coupon Frequency2]]</f>
        <v>15</v>
      </c>
      <c r="U746">
        <f>Table1[[#This Row],[Face value]]*Table1[[#This Row],[Current coupon %]]/Table1[[#This Row],[Coupon Frequency2]]</f>
        <v>75.199999999999989</v>
      </c>
      <c r="V746" s="23">
        <f>RATE(Table1[[#This Row],[Total No. of Coupons]],Table1[[#This Row],[Coupon Amount]],-Table1[[#This Row],[Ask Price]],Table1[[#This Row],[Face value]])</f>
        <v>6.0245418375249896E-2</v>
      </c>
      <c r="W746" s="24">
        <f>Table1[[#This Row],[IRR]]*Table1[[#This Row],[Coupon Frequency2]]</f>
        <v>6.0245418375249896E-2</v>
      </c>
      <c r="X746" s="25" cm="1">
        <f t="array" ref="X74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6" s="26">
        <f>DURATION(Table1[[#This Row],[Issue date]],Table1[[#This Row],[Maturity date]],Table1[[#This Row],[Current coupon %]],Table1[[#This Row],[Yield (Annualised)]],Table1[[#This Row],[Coupon Frequency2]])</f>
        <v>9.8554665634074432</v>
      </c>
      <c r="Z746" s="26">
        <f>Table1[[#This Row],[Macaulay Duration in Years]]/(1+Table1[[#This Row],[IRR]])</f>
        <v>9.2954578181627419</v>
      </c>
      <c r="AA746" s="27">
        <f>VLOOKUP(Table1[[#This Row],[Yield Cluster]],'[1]Cluster Details'!$B$3:$C$16,2,0)</f>
        <v>7.8548801574189142E-2</v>
      </c>
      <c r="AB746" s="28">
        <f>PRICE(Table1[[#This Row],[Issue date]],Table1[[#This Row],[Maturity date]],Table1[[#This Row],[Current coupon %]],Table1[[#This Row],[Average Cluster Yield]],100,Table1[[#This Row],[Coupon Frequency2]])*Table1[[#This Row],[Face value]]/100</f>
        <v>971.08025459847602</v>
      </c>
      <c r="AC746" s="27" t="str">
        <f>IF(Table1[[#This Row],[Ask Price]]&gt;Table1[[#This Row],[Calculated Bond Price]],"Rich","Cheap")</f>
        <v>Rich</v>
      </c>
      <c r="AD746" s="28">
        <f>PRICE(Table1[[#This Row],[Issue date]],Table1[[#This Row],[Maturity date]],Table1[[#This Row],[Current coupon %]],Table1[[#This Row],[Yield (Annualised)]]+$AE$2,100,Table1[[#This Row],[Coupon Frequency2]])*Table1[[#This Row],[Face value]]/100</f>
        <v>1045.0560368037034</v>
      </c>
      <c r="AE746" s="28">
        <f>PRICE(Table1[[#This Row],[Issue date]],Table1[[#This Row],[Maturity date]],Table1[[#This Row],[Current coupon %]],Table1[[#This Row],[Yield (Annualised)]]-$AE$2,100,Table1[[#This Row],[Coupon Frequency2]])*Table1[[#This Row],[Face value]]/100</f>
        <v>1258.5908784271305</v>
      </c>
      <c r="AF746" s="28">
        <f>(Table1[[#This Row],[P (+ shock)]]+Table1[[#This Row],[P (-shock)]]-2*Table1[[#This Row],[Ask Price]])/(2*Table1[[#This Row],[Ask Price]]*($AE$2^2))</f>
        <v>59.505660347218253</v>
      </c>
    </row>
    <row r="747" spans="1:32" x14ac:dyDescent="0.25">
      <c r="A747" s="21" t="s">
        <v>1536</v>
      </c>
      <c r="B747" s="3" t="s">
        <v>1537</v>
      </c>
      <c r="C747" s="3" t="s">
        <v>19</v>
      </c>
      <c r="D747" s="4">
        <v>42313</v>
      </c>
      <c r="E747" s="4">
        <v>47792</v>
      </c>
      <c r="F747" s="3">
        <v>1000</v>
      </c>
      <c r="G747" s="3" t="s">
        <v>20</v>
      </c>
      <c r="H747" s="3">
        <v>1119.1099999999999</v>
      </c>
      <c r="I747" s="3" t="s">
        <v>20</v>
      </c>
      <c r="J747" s="3">
        <v>111.91099999999901</v>
      </c>
      <c r="K747" s="3">
        <v>107</v>
      </c>
      <c r="L747" s="5">
        <v>7.3399999999999993E-2</v>
      </c>
      <c r="M747" s="3" t="s">
        <v>21</v>
      </c>
      <c r="N747" s="3">
        <v>1875</v>
      </c>
      <c r="O747" s="6">
        <f>Table1[[#This Row],[Current coupon %]]*Table1[[#This Row],[Face value]]/Table1[[#This Row],[Ask Price]]</f>
        <v>6.5587833188873304E-2</v>
      </c>
      <c r="P747" s="3"/>
      <c r="Q747" s="3" t="s">
        <v>22</v>
      </c>
      <c r="R747">
        <f t="shared" si="11"/>
        <v>15</v>
      </c>
      <c r="S747" s="22" cm="1">
        <f t="array" ref="S747">_xlfn.IFS(Table1[[#This Row],[Coupon frequency]]="Semi-annual",2,Table1[[#This Row],[Coupon frequency]]="Quarterly",4,Table1[[#This Row],[Coupon frequency]]="Annual",1,Table1[[#This Row],[Coupon frequency]]="Every 4 months",3,Table1[[#This Row],[Coupon frequency]]="Monthly",12)</f>
        <v>1</v>
      </c>
      <c r="T747">
        <f>Table1[[#This Row],[Term to Maturity (Years)]]*Table1[[#This Row],[Coupon Frequency2]]</f>
        <v>15</v>
      </c>
      <c r="U747">
        <f>Table1[[#This Row],[Face value]]*Table1[[#This Row],[Current coupon %]]/Table1[[#This Row],[Coupon Frequency2]]</f>
        <v>73.399999999999991</v>
      </c>
      <c r="V747" s="23">
        <f>RATE(Table1[[#This Row],[Total No. of Coupons]],Table1[[#This Row],[Coupon Amount]],-Table1[[#This Row],[Ask Price]],Table1[[#This Row],[Face value]])</f>
        <v>6.1051692374784805E-2</v>
      </c>
      <c r="W747" s="24">
        <f>Table1[[#This Row],[IRR]]*Table1[[#This Row],[Coupon Frequency2]]</f>
        <v>6.1051692374784805E-2</v>
      </c>
      <c r="X747" s="25" cm="1">
        <f t="array" ref="X74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7" s="26">
        <f>DURATION(Table1[[#This Row],[Issue date]],Table1[[#This Row],[Maturity date]],Table1[[#This Row],[Current coupon %]],Table1[[#This Row],[Yield (Annualised)]],Table1[[#This Row],[Coupon Frequency2]])</f>
        <v>9.8806941475648955</v>
      </c>
      <c r="Z747" s="26">
        <f>Table1[[#This Row],[Macaulay Duration in Years]]/(1+Table1[[#This Row],[IRR]])</f>
        <v>9.3121703858277574</v>
      </c>
      <c r="AA747" s="27">
        <f>VLOOKUP(Table1[[#This Row],[Yield Cluster]],'[1]Cluster Details'!$B$3:$C$16,2,0)</f>
        <v>7.8548801574189142E-2</v>
      </c>
      <c r="AB747" s="28">
        <f>PRICE(Table1[[#This Row],[Issue date]],Table1[[#This Row],[Maturity date]],Table1[[#This Row],[Current coupon %]],Table1[[#This Row],[Average Cluster Yield]],100,Table1[[#This Row],[Coupon Frequency2]])*Table1[[#This Row],[Face value]]/100</f>
        <v>955.53572603519433</v>
      </c>
      <c r="AC747" s="27" t="str">
        <f>IF(Table1[[#This Row],[Ask Price]]&gt;Table1[[#This Row],[Calculated Bond Price]],"Rich","Cheap")</f>
        <v>Rich</v>
      </c>
      <c r="AD747" s="28">
        <f>PRICE(Table1[[#This Row],[Issue date]],Table1[[#This Row],[Maturity date]],Table1[[#This Row],[Current coupon %]],Table1[[#This Row],[Yield (Annualised)]]+$AE$2,100,Table1[[#This Row],[Coupon Frequency2]])*Table1[[#This Row],[Face value]]/100</f>
        <v>1021.2468313941389</v>
      </c>
      <c r="AE747" s="28">
        <f>PRICE(Table1[[#This Row],[Issue date]],Table1[[#This Row],[Maturity date]],Table1[[#This Row],[Current coupon %]],Table1[[#This Row],[Yield (Annualised)]]-$AE$2,100,Table1[[#This Row],[Coupon Frequency2]])*Table1[[#This Row],[Face value]]/100</f>
        <v>1230.3275528632078</v>
      </c>
      <c r="AF747" s="28">
        <f>(Table1[[#This Row],[P (+ shock)]]+Table1[[#This Row],[P (-shock)]]-2*Table1[[#This Row],[Ask Price]])/(2*Table1[[#This Row],[Ask Price]]*($AE$2^2))</f>
        <v>59.665199387668494</v>
      </c>
    </row>
    <row r="748" spans="1:32" x14ac:dyDescent="0.25">
      <c r="A748" s="21" t="s">
        <v>1538</v>
      </c>
      <c r="B748" s="3" t="s">
        <v>1539</v>
      </c>
      <c r="C748" s="3" t="s">
        <v>19</v>
      </c>
      <c r="D748" s="4">
        <v>42359</v>
      </c>
      <c r="E748" s="4">
        <v>47838</v>
      </c>
      <c r="F748" s="3">
        <v>1000</v>
      </c>
      <c r="G748" s="3" t="s">
        <v>20</v>
      </c>
      <c r="H748" s="3">
        <v>1148.26</v>
      </c>
      <c r="I748" s="3" t="s">
        <v>20</v>
      </c>
      <c r="J748" s="3">
        <v>114.82599999999999</v>
      </c>
      <c r="K748" s="3">
        <v>50</v>
      </c>
      <c r="L748" s="5">
        <v>7.5300000000000006E-2</v>
      </c>
      <c r="M748" s="3" t="s">
        <v>21</v>
      </c>
      <c r="N748" s="3">
        <v>1921</v>
      </c>
      <c r="O748" s="6">
        <f>Table1[[#This Row],[Current coupon %]]*Table1[[#This Row],[Face value]]/Table1[[#This Row],[Ask Price]]</f>
        <v>6.5577482451709551E-2</v>
      </c>
      <c r="P748" s="3" t="s">
        <v>297</v>
      </c>
      <c r="Q748" s="3" t="s">
        <v>22</v>
      </c>
      <c r="R748">
        <f t="shared" si="11"/>
        <v>15</v>
      </c>
      <c r="S748" s="22" cm="1">
        <f t="array" ref="S748">_xlfn.IFS(Table1[[#This Row],[Coupon frequency]]="Semi-annual",2,Table1[[#This Row],[Coupon frequency]]="Quarterly",4,Table1[[#This Row],[Coupon frequency]]="Annual",1,Table1[[#This Row],[Coupon frequency]]="Every 4 months",3,Table1[[#This Row],[Coupon frequency]]="Monthly",12)</f>
        <v>1</v>
      </c>
      <c r="T748">
        <f>Table1[[#This Row],[Term to Maturity (Years)]]*Table1[[#This Row],[Coupon Frequency2]]</f>
        <v>15</v>
      </c>
      <c r="U748">
        <f>Table1[[#This Row],[Face value]]*Table1[[#This Row],[Current coupon %]]/Table1[[#This Row],[Coupon Frequency2]]</f>
        <v>75.300000000000011</v>
      </c>
      <c r="V748" s="23">
        <f>RATE(Table1[[#This Row],[Total No. of Coupons]],Table1[[#This Row],[Coupon Amount]],-Table1[[#This Row],[Ask Price]],Table1[[#This Row],[Face value]])</f>
        <v>6.0031589637404674E-2</v>
      </c>
      <c r="W748" s="24">
        <f>Table1[[#This Row],[IRR]]*Table1[[#This Row],[Coupon Frequency2]]</f>
        <v>6.0031589637404674E-2</v>
      </c>
      <c r="X748" s="25" cm="1">
        <f t="array" ref="X74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8" s="26">
        <f>DURATION(Table1[[#This Row],[Issue date]],Table1[[#This Row],[Maturity date]],Table1[[#This Row],[Current coupon %]],Table1[[#This Row],[Yield (Annualised)]],Table1[[#This Row],[Coupon Frequency2]])</f>
        <v>9.8583350640146428</v>
      </c>
      <c r="Z748" s="26">
        <f>Table1[[#This Row],[Macaulay Duration in Years]]/(1+Table1[[#This Row],[IRR]])</f>
        <v>9.3000389426005636</v>
      </c>
      <c r="AA748" s="27">
        <f>VLOOKUP(Table1[[#This Row],[Yield Cluster]],'[1]Cluster Details'!$B$3:$C$16,2,0)</f>
        <v>7.8548801574189142E-2</v>
      </c>
      <c r="AB748" s="28">
        <f>PRICE(Table1[[#This Row],[Issue date]],Table1[[#This Row],[Maturity date]],Table1[[#This Row],[Current coupon %]],Table1[[#This Row],[Average Cluster Yield]],100,Table1[[#This Row],[Coupon Frequency2]])*Table1[[#This Row],[Face value]]/100</f>
        <v>971.94383951865836</v>
      </c>
      <c r="AC748" s="27" t="str">
        <f>IF(Table1[[#This Row],[Ask Price]]&gt;Table1[[#This Row],[Calculated Bond Price]],"Rich","Cheap")</f>
        <v>Rich</v>
      </c>
      <c r="AD748" s="28">
        <f>PRICE(Table1[[#This Row],[Issue date]],Table1[[#This Row],[Maturity date]],Table1[[#This Row],[Current coupon %]],Table1[[#This Row],[Yield (Annualised)]]+$AE$2,100,Table1[[#This Row],[Coupon Frequency2]])*Table1[[#This Row],[Face value]]/100</f>
        <v>1047.9746559254161</v>
      </c>
      <c r="AE748" s="28">
        <f>PRICE(Table1[[#This Row],[Issue date]],Table1[[#This Row],[Maturity date]],Table1[[#This Row],[Current coupon %]],Table1[[#This Row],[Yield (Annualised)]]-$AE$2,100,Table1[[#This Row],[Coupon Frequency2]])*Table1[[#This Row],[Face value]]/100</f>
        <v>1262.221464836239</v>
      </c>
      <c r="AF748" s="28">
        <f>(Table1[[#This Row],[P (+ shock)]]+Table1[[#This Row],[P (-shock)]]-2*Table1[[#This Row],[Ask Price]])/(2*Table1[[#This Row],[Ask Price]]*($AE$2^2))</f>
        <v>59.551498622502983</v>
      </c>
    </row>
    <row r="749" spans="1:32" x14ac:dyDescent="0.25">
      <c r="A749" s="21" t="s">
        <v>1540</v>
      </c>
      <c r="B749" s="3" t="s">
        <v>1541</v>
      </c>
      <c r="C749" s="3" t="s">
        <v>19</v>
      </c>
      <c r="D749" s="4">
        <v>41356</v>
      </c>
      <c r="E749" s="4">
        <v>46835</v>
      </c>
      <c r="F749" s="3">
        <v>1000</v>
      </c>
      <c r="G749" s="3" t="s">
        <v>20</v>
      </c>
      <c r="H749" s="3">
        <v>1075.0999999999999</v>
      </c>
      <c r="I749" s="3" t="s">
        <v>20</v>
      </c>
      <c r="J749" s="3">
        <v>107.509999999999</v>
      </c>
      <c r="K749" s="3">
        <v>5</v>
      </c>
      <c r="L749" s="5">
        <v>7.0400000000000004E-2</v>
      </c>
      <c r="M749" s="3" t="s">
        <v>21</v>
      </c>
      <c r="N749" s="3">
        <v>918</v>
      </c>
      <c r="O749" s="6">
        <f>Table1[[#This Row],[Current coupon %]]*Table1[[#This Row],[Face value]]/Table1[[#This Row],[Ask Price]]</f>
        <v>6.5482280718072744E-2</v>
      </c>
      <c r="P749" s="3" t="s">
        <v>297</v>
      </c>
      <c r="Q749" s="3" t="s">
        <v>22</v>
      </c>
      <c r="R749">
        <f t="shared" si="11"/>
        <v>15</v>
      </c>
      <c r="S749" s="22" cm="1">
        <f t="array" ref="S749">_xlfn.IFS(Table1[[#This Row],[Coupon frequency]]="Semi-annual",2,Table1[[#This Row],[Coupon frequency]]="Quarterly",4,Table1[[#This Row],[Coupon frequency]]="Annual",1,Table1[[#This Row],[Coupon frequency]]="Every 4 months",3,Table1[[#This Row],[Coupon frequency]]="Monthly",12)</f>
        <v>1</v>
      </c>
      <c r="T749">
        <f>Table1[[#This Row],[Term to Maturity (Years)]]*Table1[[#This Row],[Coupon Frequency2]]</f>
        <v>15</v>
      </c>
      <c r="U749">
        <f>Table1[[#This Row],[Face value]]*Table1[[#This Row],[Current coupon %]]/Table1[[#This Row],[Coupon Frequency2]]</f>
        <v>70.400000000000006</v>
      </c>
      <c r="V749" s="23">
        <f>RATE(Table1[[#This Row],[Total No. of Coupons]],Table1[[#This Row],[Coupon Amount]],-Table1[[#This Row],[Ask Price]],Table1[[#This Row],[Face value]])</f>
        <v>6.2538720842572615E-2</v>
      </c>
      <c r="W749" s="24">
        <f>Table1[[#This Row],[IRR]]*Table1[[#This Row],[Coupon Frequency2]]</f>
        <v>6.2538720842572615E-2</v>
      </c>
      <c r="X749" s="25" cm="1">
        <f t="array" ref="X74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49" s="26">
        <f>DURATION(Table1[[#This Row],[Issue date]],Table1[[#This Row],[Maturity date]],Table1[[#This Row],[Current coupon %]],Table1[[#This Row],[Yield (Annualised)]],Table1[[#This Row],[Coupon Frequency2]])</f>
        <v>9.922343789210899</v>
      </c>
      <c r="Z749" s="26">
        <f>Table1[[#This Row],[Macaulay Duration in Years]]/(1+Table1[[#This Row],[IRR]])</f>
        <v>9.3383361891439325</v>
      </c>
      <c r="AA749" s="27">
        <f>VLOOKUP(Table1[[#This Row],[Yield Cluster]],'[1]Cluster Details'!$B$3:$C$16,2,0)</f>
        <v>7.8548801574189142E-2</v>
      </c>
      <c r="AB749" s="28">
        <f>PRICE(Table1[[#This Row],[Issue date]],Table1[[#This Row],[Maturity date]],Table1[[#This Row],[Current coupon %]],Table1[[#This Row],[Average Cluster Yield]],100,Table1[[#This Row],[Coupon Frequency2]])*Table1[[#This Row],[Face value]]/100</f>
        <v>929.62817842972549</v>
      </c>
      <c r="AC749" s="27" t="str">
        <f>IF(Table1[[#This Row],[Ask Price]]&gt;Table1[[#This Row],[Calculated Bond Price]],"Rich","Cheap")</f>
        <v>Rich</v>
      </c>
      <c r="AD749" s="28">
        <f>PRICE(Table1[[#This Row],[Issue date]],Table1[[#This Row],[Maturity date]],Table1[[#This Row],[Current coupon %]],Table1[[#This Row],[Yield (Annualised)]]+$AE$2,100,Table1[[#This Row],[Coupon Frequency2]])*Table1[[#This Row],[Face value]]/100</f>
        <v>980.82925555265149</v>
      </c>
      <c r="AE749" s="28">
        <f>PRICE(Table1[[#This Row],[Issue date]],Table1[[#This Row],[Maturity date]],Table1[[#This Row],[Current coupon %]],Table1[[#This Row],[Yield (Annualised)]]-$AE$2,100,Table1[[#This Row],[Coupon Frequency2]])*Table1[[#This Row],[Face value]]/100</f>
        <v>1182.2531573337656</v>
      </c>
      <c r="AF749" s="28">
        <f>(Table1[[#This Row],[P (+ shock)]]+Table1[[#This Row],[P (-shock)]]-2*Table1[[#This Row],[Ask Price]])/(2*Table1[[#This Row],[Ask Price]]*($AE$2^2))</f>
        <v>59.912626204153639</v>
      </c>
    </row>
    <row r="750" spans="1:32" x14ac:dyDescent="0.25">
      <c r="A750" s="21" t="s">
        <v>1542</v>
      </c>
      <c r="B750" s="3" t="s">
        <v>1543</v>
      </c>
      <c r="C750" s="3" t="s">
        <v>19</v>
      </c>
      <c r="D750" s="4">
        <v>41358</v>
      </c>
      <c r="E750" s="4">
        <v>46837</v>
      </c>
      <c r="F750" s="3">
        <v>1000</v>
      </c>
      <c r="G750" s="3" t="s">
        <v>20</v>
      </c>
      <c r="H750" s="3">
        <v>1080.0999999999999</v>
      </c>
      <c r="I750" s="3" t="s">
        <v>20</v>
      </c>
      <c r="J750" s="3">
        <v>108.009999999999</v>
      </c>
      <c r="K750" s="3">
        <v>22</v>
      </c>
      <c r="L750" s="5">
        <v>7.0400000000000004E-2</v>
      </c>
      <c r="M750" s="3" t="s">
        <v>21</v>
      </c>
      <c r="N750" s="3">
        <v>920</v>
      </c>
      <c r="O750" s="6">
        <f>Table1[[#This Row],[Current coupon %]]*Table1[[#This Row],[Face value]]/Table1[[#This Row],[Ask Price]]</f>
        <v>6.517915007869643E-2</v>
      </c>
      <c r="P750" s="3"/>
      <c r="Q750" s="3" t="s">
        <v>22</v>
      </c>
      <c r="R750">
        <f t="shared" si="11"/>
        <v>15</v>
      </c>
      <c r="S750" s="22" cm="1">
        <f t="array" ref="S750">_xlfn.IFS(Table1[[#This Row],[Coupon frequency]]="Semi-annual",2,Table1[[#This Row],[Coupon frequency]]="Quarterly",4,Table1[[#This Row],[Coupon frequency]]="Annual",1,Table1[[#This Row],[Coupon frequency]]="Every 4 months",3,Table1[[#This Row],[Coupon frequency]]="Monthly",12)</f>
        <v>1</v>
      </c>
      <c r="T750">
        <f>Table1[[#This Row],[Term to Maturity (Years)]]*Table1[[#This Row],[Coupon Frequency2]]</f>
        <v>15</v>
      </c>
      <c r="U750">
        <f>Table1[[#This Row],[Face value]]*Table1[[#This Row],[Current coupon %]]/Table1[[#This Row],[Coupon Frequency2]]</f>
        <v>70.400000000000006</v>
      </c>
      <c r="V750" s="23">
        <f>RATE(Table1[[#This Row],[Total No. of Coupons]],Table1[[#This Row],[Coupon Amount]],-Table1[[#This Row],[Ask Price]],Table1[[#This Row],[Face value]])</f>
        <v>6.204227721617548E-2</v>
      </c>
      <c r="W750" s="24">
        <f>Table1[[#This Row],[IRR]]*Table1[[#This Row],[Coupon Frequency2]]</f>
        <v>6.204227721617548E-2</v>
      </c>
      <c r="X750" s="25" cm="1">
        <f t="array" ref="X75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0" s="26">
        <f>DURATION(Table1[[#This Row],[Issue date]],Table1[[#This Row],[Maturity date]],Table1[[#This Row],[Current coupon %]],Table1[[#This Row],[Yield (Annualised)]],Table1[[#This Row],[Coupon Frequency2]])</f>
        <v>9.9347872532641048</v>
      </c>
      <c r="Z750" s="26">
        <f>Table1[[#This Row],[Macaulay Duration in Years]]/(1+Table1[[#This Row],[IRR]])</f>
        <v>9.3544178667775473</v>
      </c>
      <c r="AA750" s="27">
        <f>VLOOKUP(Table1[[#This Row],[Yield Cluster]],'[1]Cluster Details'!$B$3:$C$16,2,0)</f>
        <v>7.8548801574189142E-2</v>
      </c>
      <c r="AB750" s="28">
        <f>PRICE(Table1[[#This Row],[Issue date]],Table1[[#This Row],[Maturity date]],Table1[[#This Row],[Current coupon %]],Table1[[#This Row],[Average Cluster Yield]],100,Table1[[#This Row],[Coupon Frequency2]])*Table1[[#This Row],[Face value]]/100</f>
        <v>929.62817842972549</v>
      </c>
      <c r="AC750" s="27" t="str">
        <f>IF(Table1[[#This Row],[Ask Price]]&gt;Table1[[#This Row],[Calculated Bond Price]],"Rich","Cheap")</f>
        <v>Rich</v>
      </c>
      <c r="AD750" s="28">
        <f>PRICE(Table1[[#This Row],[Issue date]],Table1[[#This Row],[Maturity date]],Table1[[#This Row],[Current coupon %]],Table1[[#This Row],[Yield (Annualised)]]+$AE$2,100,Table1[[#This Row],[Coupon Frequency2]])*Table1[[#This Row],[Face value]]/100</f>
        <v>985.23332888169682</v>
      </c>
      <c r="AE750" s="28">
        <f>PRICE(Table1[[#This Row],[Issue date]],Table1[[#This Row],[Maturity date]],Table1[[#This Row],[Current coupon %]],Table1[[#This Row],[Yield (Annualised)]]-$AE$2,100,Table1[[#This Row],[Coupon Frequency2]])*Table1[[#This Row],[Face value]]/100</f>
        <v>1187.9435244050574</v>
      </c>
      <c r="AF750" s="28">
        <f>(Table1[[#This Row],[P (+ shock)]]+Table1[[#This Row],[P (-shock)]]-2*Table1[[#This Row],[Ask Price]])/(2*Table1[[#This Row],[Ask Price]]*($AE$2^2))</f>
        <v>60.07246221069461</v>
      </c>
    </row>
    <row r="751" spans="1:32" x14ac:dyDescent="0.25">
      <c r="A751" s="21" t="s">
        <v>1544</v>
      </c>
      <c r="B751" s="3" t="s">
        <v>1545</v>
      </c>
      <c r="C751" s="3" t="s">
        <v>19</v>
      </c>
      <c r="D751" s="4">
        <v>41234</v>
      </c>
      <c r="E751" s="4">
        <v>46712</v>
      </c>
      <c r="F751" s="3">
        <v>1000000</v>
      </c>
      <c r="G751" s="3" t="s">
        <v>20</v>
      </c>
      <c r="H751" s="3">
        <v>1135924.6000000001</v>
      </c>
      <c r="I751" s="3" t="s">
        <v>20</v>
      </c>
      <c r="J751" s="3">
        <v>113.59246</v>
      </c>
      <c r="K751" s="3">
        <v>10</v>
      </c>
      <c r="L751" s="5">
        <v>7.3800000000000004E-2</v>
      </c>
      <c r="M751" s="3" t="s">
        <v>21</v>
      </c>
      <c r="N751" s="3">
        <v>795</v>
      </c>
      <c r="O751" s="6">
        <f>Table1[[#This Row],[Current coupon %]]*Table1[[#This Row],[Face value]]/Table1[[#This Row],[Ask Price]]</f>
        <v>6.4969100942087174E-2</v>
      </c>
      <c r="P751" s="3"/>
      <c r="Q751" s="3" t="s">
        <v>22</v>
      </c>
      <c r="R751">
        <f t="shared" si="11"/>
        <v>15</v>
      </c>
      <c r="S751" s="22" cm="1">
        <f t="array" ref="S751">_xlfn.IFS(Table1[[#This Row],[Coupon frequency]]="Semi-annual",2,Table1[[#This Row],[Coupon frequency]]="Quarterly",4,Table1[[#This Row],[Coupon frequency]]="Annual",1,Table1[[#This Row],[Coupon frequency]]="Every 4 months",3,Table1[[#This Row],[Coupon frequency]]="Monthly",12)</f>
        <v>1</v>
      </c>
      <c r="T751">
        <f>Table1[[#This Row],[Term to Maturity (Years)]]*Table1[[#This Row],[Coupon Frequency2]]</f>
        <v>15</v>
      </c>
      <c r="U751">
        <f>Table1[[#This Row],[Face value]]*Table1[[#This Row],[Current coupon %]]/Table1[[#This Row],[Coupon Frequency2]]</f>
        <v>73800</v>
      </c>
      <c r="V751" s="23">
        <f>RATE(Table1[[#This Row],[Total No. of Coupons]],Table1[[#This Row],[Coupon Amount]],-Table1[[#This Row],[Ask Price]],Table1[[#This Row],[Face value]])</f>
        <v>5.9821175276509486E-2</v>
      </c>
      <c r="W751" s="24">
        <f>Table1[[#This Row],[IRR]]*Table1[[#This Row],[Coupon Frequency2]]</f>
        <v>5.9821175276509486E-2</v>
      </c>
      <c r="X751" s="25" cm="1">
        <f t="array" ref="X75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1" s="26">
        <f>DURATION(Table1[[#This Row],[Issue date]],Table1[[#This Row],[Maturity date]],Table1[[#This Row],[Current coupon %]],Table1[[#This Row],[Yield (Annualised)]],Table1[[#This Row],[Coupon Frequency2]])</f>
        <v>9.9012799027632834</v>
      </c>
      <c r="Z751" s="26">
        <f>Table1[[#This Row],[Macaulay Duration in Years]]/(1+Table1[[#This Row],[IRR]])</f>
        <v>9.3424061848736137</v>
      </c>
      <c r="AA751" s="27">
        <f>VLOOKUP(Table1[[#This Row],[Yield Cluster]],'[1]Cluster Details'!$B$3:$C$16,2,0)</f>
        <v>7.8548801574189142E-2</v>
      </c>
      <c r="AB751" s="28">
        <f>PRICE(Table1[[#This Row],[Issue date]],Table1[[#This Row],[Maturity date]],Table1[[#This Row],[Current coupon %]],Table1[[#This Row],[Average Cluster Yield]],100,Table1[[#This Row],[Coupon Frequency2]])*Table1[[#This Row],[Face value]]/100</f>
        <v>958990.06571592391</v>
      </c>
      <c r="AC751" s="27" t="str">
        <f>IF(Table1[[#This Row],[Ask Price]]&gt;Table1[[#This Row],[Calculated Bond Price]],"Rich","Cheap")</f>
        <v>Rich</v>
      </c>
      <c r="AD751" s="28">
        <f>PRICE(Table1[[#This Row],[Issue date]],Table1[[#This Row],[Maturity date]],Table1[[#This Row],[Current coupon %]],Table1[[#This Row],[Yield (Annualised)]]+$AE$2,100,Table1[[#This Row],[Coupon Frequency2]])*Table1[[#This Row],[Face value]]/100</f>
        <v>1036279.7601772655</v>
      </c>
      <c r="AE751" s="28">
        <f>PRICE(Table1[[#This Row],[Issue date]],Table1[[#This Row],[Maturity date]],Table1[[#This Row],[Current coupon %]],Table1[[#This Row],[Yield (Annualised)]]-$AE$2,100,Table1[[#This Row],[Coupon Frequency2]])*Table1[[#This Row],[Face value]]/100</f>
        <v>1249193.119314946</v>
      </c>
      <c r="AF751" s="28">
        <f>(Table1[[#This Row],[P (+ shock)]]+Table1[[#This Row],[P (-shock)]]-2*Table1[[#This Row],[Ask Price]])/(2*Table1[[#This Row],[Ask Price]]*($AE$2^2))</f>
        <v>59.967358274534391</v>
      </c>
    </row>
    <row r="752" spans="1:32" x14ac:dyDescent="0.25">
      <c r="A752" s="21" t="s">
        <v>1546</v>
      </c>
      <c r="B752" s="3" t="s">
        <v>1547</v>
      </c>
      <c r="C752" s="3" t="s">
        <v>19</v>
      </c>
      <c r="D752" s="4">
        <v>42452</v>
      </c>
      <c r="E752" s="4">
        <v>47930</v>
      </c>
      <c r="F752" s="3">
        <v>1000</v>
      </c>
      <c r="G752" s="3" t="s">
        <v>20</v>
      </c>
      <c r="H752" s="3">
        <v>1135.76</v>
      </c>
      <c r="I752" s="3" t="s">
        <v>20</v>
      </c>
      <c r="J752" s="3">
        <v>113.57599999999999</v>
      </c>
      <c r="K752" s="3">
        <v>1000</v>
      </c>
      <c r="L752" s="5">
        <v>7.3499999999999996E-2</v>
      </c>
      <c r="M752" s="3" t="s">
        <v>21</v>
      </c>
      <c r="N752" s="3">
        <v>2013</v>
      </c>
      <c r="O752" s="6">
        <f>Table1[[#This Row],[Current coupon %]]*Table1[[#This Row],[Face value]]/Table1[[#This Row],[Ask Price]]</f>
        <v>6.471437627667817E-2</v>
      </c>
      <c r="P752" s="3"/>
      <c r="Q752" s="3" t="s">
        <v>22</v>
      </c>
      <c r="R752">
        <f t="shared" si="11"/>
        <v>15</v>
      </c>
      <c r="S752" s="22" cm="1">
        <f t="array" ref="S752">_xlfn.IFS(Table1[[#This Row],[Coupon frequency]]="Semi-annual",2,Table1[[#This Row],[Coupon frequency]]="Quarterly",4,Table1[[#This Row],[Coupon frequency]]="Annual",1,Table1[[#This Row],[Coupon frequency]]="Every 4 months",3,Table1[[#This Row],[Coupon frequency]]="Monthly",12)</f>
        <v>1</v>
      </c>
      <c r="T752">
        <f>Table1[[#This Row],[Term to Maturity (Years)]]*Table1[[#This Row],[Coupon Frequency2]]</f>
        <v>15</v>
      </c>
      <c r="U752">
        <f>Table1[[#This Row],[Face value]]*Table1[[#This Row],[Current coupon %]]/Table1[[#This Row],[Coupon Frequency2]]</f>
        <v>73.5</v>
      </c>
      <c r="V752" s="23">
        <f>RATE(Table1[[#This Row],[Total No. of Coupons]],Table1[[#This Row],[Coupon Amount]],-Table1[[#This Row],[Ask Price]],Table1[[#This Row],[Face value]])</f>
        <v>5.9561772194201411E-2</v>
      </c>
      <c r="W752" s="24">
        <f>Table1[[#This Row],[IRR]]*Table1[[#This Row],[Coupon Frequency2]]</f>
        <v>5.9561772194201411E-2</v>
      </c>
      <c r="X752" s="25" cm="1">
        <f t="array" ref="X75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2" s="26">
        <f>DURATION(Table1[[#This Row],[Issue date]],Table1[[#This Row],[Maturity date]],Table1[[#This Row],[Current coupon %]],Table1[[#This Row],[Yield (Annualised)]],Table1[[#This Row],[Coupon Frequency2]])</f>
        <v>9.9154201200644589</v>
      </c>
      <c r="Z752" s="26">
        <f>Table1[[#This Row],[Macaulay Duration in Years]]/(1+Table1[[#This Row],[IRR]])</f>
        <v>9.3580387479731701</v>
      </c>
      <c r="AA752" s="27">
        <f>VLOOKUP(Table1[[#This Row],[Yield Cluster]],'[1]Cluster Details'!$B$3:$C$16,2,0)</f>
        <v>7.8548801574189142E-2</v>
      </c>
      <c r="AB752" s="28">
        <f>PRICE(Table1[[#This Row],[Issue date]],Table1[[#This Row],[Maturity date]],Table1[[#This Row],[Current coupon %]],Table1[[#This Row],[Average Cluster Yield]],100,Table1[[#This Row],[Coupon Frequency2]])*Table1[[#This Row],[Face value]]/100</f>
        <v>956.3993109553769</v>
      </c>
      <c r="AC752" s="27" t="str">
        <f>IF(Table1[[#This Row],[Ask Price]]&gt;Table1[[#This Row],[Calculated Bond Price]],"Rich","Cheap")</f>
        <v>Rich</v>
      </c>
      <c r="AD752" s="28">
        <f>PRICE(Table1[[#This Row],[Issue date]],Table1[[#This Row],[Maturity date]],Table1[[#This Row],[Current coupon %]],Table1[[#This Row],[Yield (Annualised)]]+$AE$2,100,Table1[[#This Row],[Coupon Frequency2]])*Table1[[#This Row],[Face value]]/100</f>
        <v>1035.9685342315836</v>
      </c>
      <c r="AE752" s="28">
        <f>PRICE(Table1[[#This Row],[Issue date]],Table1[[#This Row],[Maturity date]],Table1[[#This Row],[Current coupon %]],Table1[[#This Row],[Yield (Annualised)]]-$AE$2,100,Table1[[#This Row],[Coupon Frequency2]])*Table1[[#This Row],[Face value]]/100</f>
        <v>1249.2082617593019</v>
      </c>
      <c r="AF752" s="28">
        <f>(Table1[[#This Row],[P (+ shock)]]+Table1[[#This Row],[P (-shock)]]-2*Table1[[#This Row],[Ask Price]])/(2*Table1[[#This Row],[Ask Price]]*($AE$2^2))</f>
        <v>60.121839080816855</v>
      </c>
    </row>
    <row r="753" spans="1:32" x14ac:dyDescent="0.25">
      <c r="A753" s="21" t="s">
        <v>1548</v>
      </c>
      <c r="B753" s="3" t="s">
        <v>1549</v>
      </c>
      <c r="C753" s="3" t="s">
        <v>19</v>
      </c>
      <c r="D753" s="4">
        <v>44064</v>
      </c>
      <c r="E753" s="4">
        <v>49542</v>
      </c>
      <c r="F753" s="3">
        <v>1000000</v>
      </c>
      <c r="G753" s="3" t="s">
        <v>20</v>
      </c>
      <c r="H753" s="3">
        <v>1053670</v>
      </c>
      <c r="I753" s="3" t="s">
        <v>20</v>
      </c>
      <c r="J753" s="3">
        <v>105.367</v>
      </c>
      <c r="K753" s="3">
        <v>100</v>
      </c>
      <c r="L753" s="5">
        <v>6.8000000000000005E-2</v>
      </c>
      <c r="M753" s="3" t="s">
        <v>21</v>
      </c>
      <c r="N753" s="3">
        <v>3625</v>
      </c>
      <c r="O753" s="6">
        <f>Table1[[#This Row],[Current coupon %]]*Table1[[#This Row],[Face value]]/Table1[[#This Row],[Ask Price]]</f>
        <v>6.4536334905615611E-2</v>
      </c>
      <c r="P753" s="3" t="s">
        <v>297</v>
      </c>
      <c r="Q753" s="3" t="s">
        <v>22</v>
      </c>
      <c r="R753">
        <f t="shared" si="11"/>
        <v>15</v>
      </c>
      <c r="S753" s="22" cm="1">
        <f t="array" ref="S753">_xlfn.IFS(Table1[[#This Row],[Coupon frequency]]="Semi-annual",2,Table1[[#This Row],[Coupon frequency]]="Quarterly",4,Table1[[#This Row],[Coupon frequency]]="Annual",1,Table1[[#This Row],[Coupon frequency]]="Every 4 months",3,Table1[[#This Row],[Coupon frequency]]="Monthly",12)</f>
        <v>1</v>
      </c>
      <c r="T753">
        <f>Table1[[#This Row],[Term to Maturity (Years)]]*Table1[[#This Row],[Coupon Frequency2]]</f>
        <v>15</v>
      </c>
      <c r="U753">
        <f>Table1[[#This Row],[Face value]]*Table1[[#This Row],[Current coupon %]]/Table1[[#This Row],[Coupon Frequency2]]</f>
        <v>68000</v>
      </c>
      <c r="V753" s="23">
        <f>RATE(Table1[[#This Row],[Total No. of Coupons]],Table1[[#This Row],[Coupon Amount]],-Table1[[#This Row],[Ask Price]],Table1[[#This Row],[Face value]])</f>
        <v>6.2387462844264649E-2</v>
      </c>
      <c r="W753" s="24">
        <f>Table1[[#This Row],[IRR]]*Table1[[#This Row],[Coupon Frequency2]]</f>
        <v>6.2387462844264649E-2</v>
      </c>
      <c r="X753" s="25" cm="1">
        <f t="array" ref="X75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3" s="26">
        <f>DURATION(Table1[[#This Row],[Issue date]],Table1[[#This Row],[Maturity date]],Table1[[#This Row],[Current coupon %]],Table1[[#This Row],[Yield (Annualised)]],Table1[[#This Row],[Coupon Frequency2]])</f>
        <v>9.9923618155674188</v>
      </c>
      <c r="Z753" s="26">
        <f>Table1[[#This Row],[Macaulay Duration in Years]]/(1+Table1[[#This Row],[IRR]])</f>
        <v>9.4055720394285167</v>
      </c>
      <c r="AA753" s="27">
        <f>VLOOKUP(Table1[[#This Row],[Yield Cluster]],'[1]Cluster Details'!$B$3:$C$16,2,0)</f>
        <v>7.8548801574189142E-2</v>
      </c>
      <c r="AB753" s="28">
        <f>PRICE(Table1[[#This Row],[Issue date]],Table1[[#This Row],[Maturity date]],Table1[[#This Row],[Current coupon %]],Table1[[#This Row],[Average Cluster Yield]],100,Table1[[#This Row],[Coupon Frequency2]])*Table1[[#This Row],[Face value]]/100</f>
        <v>908902.14034535049</v>
      </c>
      <c r="AC753" s="27" t="str">
        <f>IF(Table1[[#This Row],[Ask Price]]&gt;Table1[[#This Row],[Calculated Bond Price]],"Rich","Cheap")</f>
        <v>Rich</v>
      </c>
      <c r="AD753" s="28">
        <f>PRICE(Table1[[#This Row],[Issue date]],Table1[[#This Row],[Maturity date]],Table1[[#This Row],[Current coupon %]],Table1[[#This Row],[Yield (Annualised)]]+$AE$2,100,Table1[[#This Row],[Coupon Frequency2]])*Table1[[#This Row],[Face value]]/100</f>
        <v>960635.04196353571</v>
      </c>
      <c r="AE753" s="28">
        <f>PRICE(Table1[[#This Row],[Issue date]],Table1[[#This Row],[Maturity date]],Table1[[#This Row],[Current coupon %]],Table1[[#This Row],[Yield (Annualised)]]-$AE$2,100,Table1[[#This Row],[Coupon Frequency2]])*Table1[[#This Row],[Face value]]/100</f>
        <v>1159469.0175677582</v>
      </c>
      <c r="AF753" s="28">
        <f>(Table1[[#This Row],[P (+ shock)]]+Table1[[#This Row],[P (-shock)]]-2*Table1[[#This Row],[Ask Price]])/(2*Table1[[#This Row],[Ask Price]]*($AE$2^2))</f>
        <v>60.569530931381784</v>
      </c>
    </row>
    <row r="754" spans="1:32" x14ac:dyDescent="0.25">
      <c r="A754" s="21" t="s">
        <v>1550</v>
      </c>
      <c r="B754" s="3" t="s">
        <v>1551</v>
      </c>
      <c r="C754" s="3" t="s">
        <v>19</v>
      </c>
      <c r="D754" s="4">
        <v>42359</v>
      </c>
      <c r="E754" s="4">
        <v>47838</v>
      </c>
      <c r="F754" s="3">
        <v>1000</v>
      </c>
      <c r="G754" s="3" t="s">
        <v>20</v>
      </c>
      <c r="H754" s="3">
        <v>1134.27</v>
      </c>
      <c r="I754" s="3" t="s">
        <v>20</v>
      </c>
      <c r="J754" s="3">
        <v>113.426999999999</v>
      </c>
      <c r="K754" s="3">
        <v>10</v>
      </c>
      <c r="L754" s="5">
        <v>7.2800000000000004E-2</v>
      </c>
      <c r="M754" s="3" t="s">
        <v>21</v>
      </c>
      <c r="N754" s="3">
        <v>1921</v>
      </c>
      <c r="O754" s="6">
        <f>Table1[[#This Row],[Current coupon %]]*Table1[[#This Row],[Face value]]/Table1[[#This Row],[Ask Price]]</f>
        <v>6.4182249376250805E-2</v>
      </c>
      <c r="P754" s="3" t="s">
        <v>297</v>
      </c>
      <c r="Q754" s="3" t="s">
        <v>22</v>
      </c>
      <c r="R754">
        <f t="shared" si="11"/>
        <v>15</v>
      </c>
      <c r="S754" s="22" cm="1">
        <f t="array" ref="S754">_xlfn.IFS(Table1[[#This Row],[Coupon frequency]]="Semi-annual",2,Table1[[#This Row],[Coupon frequency]]="Quarterly",4,Table1[[#This Row],[Coupon frequency]]="Annual",1,Table1[[#This Row],[Coupon frequency]]="Every 4 months",3,Table1[[#This Row],[Coupon frequency]]="Monthly",12)</f>
        <v>1</v>
      </c>
      <c r="T754">
        <f>Table1[[#This Row],[Term to Maturity (Years)]]*Table1[[#This Row],[Coupon Frequency2]]</f>
        <v>15</v>
      </c>
      <c r="U754">
        <f>Table1[[#This Row],[Face value]]*Table1[[#This Row],[Current coupon %]]/Table1[[#This Row],[Coupon Frequency2]]</f>
        <v>72.8</v>
      </c>
      <c r="V754" s="23">
        <f>RATE(Table1[[#This Row],[Total No. of Coupons]],Table1[[#This Row],[Coupon Amount]],-Table1[[#This Row],[Ask Price]],Table1[[#This Row],[Face value]])</f>
        <v>5.9059976846572354E-2</v>
      </c>
      <c r="W754" s="24">
        <f>Table1[[#This Row],[IRR]]*Table1[[#This Row],[Coupon Frequency2]]</f>
        <v>5.9059976846572354E-2</v>
      </c>
      <c r="X754" s="25" cm="1">
        <f t="array" ref="X75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4" s="26">
        <f>DURATION(Table1[[#This Row],[Issue date]],Table1[[#This Row],[Maturity date]],Table1[[#This Row],[Current coupon %]],Table1[[#This Row],[Yield (Annualised)]],Table1[[#This Row],[Coupon Frequency2]])</f>
        <v>9.9459733200721292</v>
      </c>
      <c r="Z754" s="26">
        <f>Table1[[#This Row],[Macaulay Duration in Years]]/(1+Table1[[#This Row],[IRR]])</f>
        <v>9.3913220568366533</v>
      </c>
      <c r="AA754" s="27">
        <f>VLOOKUP(Table1[[#This Row],[Yield Cluster]],'[1]Cluster Details'!$B$3:$C$16,2,0)</f>
        <v>7.8548801574189142E-2</v>
      </c>
      <c r="AB754" s="28">
        <f>PRICE(Table1[[#This Row],[Issue date]],Table1[[#This Row],[Maturity date]],Table1[[#This Row],[Current coupon %]],Table1[[#This Row],[Average Cluster Yield]],100,Table1[[#This Row],[Coupon Frequency2]])*Table1[[#This Row],[Face value]]/100</f>
        <v>950.3542165141007</v>
      </c>
      <c r="AC754" s="27" t="str">
        <f>IF(Table1[[#This Row],[Ask Price]]&gt;Table1[[#This Row],[Calculated Bond Price]],"Rich","Cheap")</f>
        <v>Rich</v>
      </c>
      <c r="AD754" s="28">
        <f>PRICE(Table1[[#This Row],[Issue date]],Table1[[#This Row],[Maturity date]],Table1[[#This Row],[Current coupon %]],Table1[[#This Row],[Yield (Annualised)]]+$AE$2,100,Table1[[#This Row],[Coupon Frequency2]])*Table1[[#This Row],[Face value]]/100</f>
        <v>1034.2669835729507</v>
      </c>
      <c r="AE754" s="28">
        <f>PRICE(Table1[[#This Row],[Issue date]],Table1[[#This Row],[Maturity date]],Table1[[#This Row],[Current coupon %]],Table1[[#This Row],[Yield (Annualised)]]-$AE$2,100,Table1[[#This Row],[Coupon Frequency2]])*Table1[[#This Row],[Face value]]/100</f>
        <v>1247.9865170202299</v>
      </c>
      <c r="AF754" s="28">
        <f>(Table1[[#This Row],[P (+ shock)]]+Table1[[#This Row],[P (-shock)]]-2*Table1[[#This Row],[Ask Price]])/(2*Table1[[#This Row],[Ask Price]]*($AE$2^2))</f>
        <v>60.450777121763203</v>
      </c>
    </row>
    <row r="755" spans="1:32" x14ac:dyDescent="0.25">
      <c r="A755" s="21" t="s">
        <v>1552</v>
      </c>
      <c r="B755" s="3" t="s">
        <v>1553</v>
      </c>
      <c r="C755" s="3" t="s">
        <v>19</v>
      </c>
      <c r="D755" s="4">
        <v>41296</v>
      </c>
      <c r="E755" s="4">
        <v>48601</v>
      </c>
      <c r="F755" s="3">
        <v>1000</v>
      </c>
      <c r="G755" s="3" t="s">
        <v>20</v>
      </c>
      <c r="H755" s="3">
        <v>1155</v>
      </c>
      <c r="I755" s="3" t="s">
        <v>20</v>
      </c>
      <c r="J755" s="3">
        <v>115.5</v>
      </c>
      <c r="K755" s="3">
        <v>575</v>
      </c>
      <c r="L755" s="5">
        <v>7.400000000000001E-2</v>
      </c>
      <c r="M755" s="3" t="s">
        <v>21</v>
      </c>
      <c r="N755" s="3">
        <v>2684</v>
      </c>
      <c r="O755" s="6">
        <f>Table1[[#This Row],[Current coupon %]]*Table1[[#This Row],[Face value]]/Table1[[#This Row],[Ask Price]]</f>
        <v>6.4069264069264081E-2</v>
      </c>
      <c r="P755" s="3" t="s">
        <v>54</v>
      </c>
      <c r="Q755" s="3" t="s">
        <v>22</v>
      </c>
      <c r="R755">
        <f t="shared" si="11"/>
        <v>20</v>
      </c>
      <c r="S755" s="22" cm="1">
        <f t="array" ref="S755">_xlfn.IFS(Table1[[#This Row],[Coupon frequency]]="Semi-annual",2,Table1[[#This Row],[Coupon frequency]]="Quarterly",4,Table1[[#This Row],[Coupon frequency]]="Annual",1,Table1[[#This Row],[Coupon frequency]]="Every 4 months",3,Table1[[#This Row],[Coupon frequency]]="Monthly",12)</f>
        <v>1</v>
      </c>
      <c r="T755">
        <f>Table1[[#This Row],[Term to Maturity (Years)]]*Table1[[#This Row],[Coupon Frequency2]]</f>
        <v>20</v>
      </c>
      <c r="U755">
        <f>Table1[[#This Row],[Face value]]*Table1[[#This Row],[Current coupon %]]/Table1[[#This Row],[Coupon Frequency2]]</f>
        <v>74.000000000000014</v>
      </c>
      <c r="V755" s="23">
        <f>RATE(Table1[[#This Row],[Total No. of Coupons]],Table1[[#This Row],[Coupon Amount]],-Table1[[#This Row],[Ask Price]],Table1[[#This Row],[Face value]])</f>
        <v>6.0438273535209364E-2</v>
      </c>
      <c r="W755" s="24">
        <f>Table1[[#This Row],[IRR]]*Table1[[#This Row],[Coupon Frequency2]]</f>
        <v>6.0438273535209364E-2</v>
      </c>
      <c r="X755" s="25" cm="1">
        <f t="array" ref="X75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5" s="26">
        <f>DURATION(Table1[[#This Row],[Issue date]],Table1[[#This Row],[Maturity date]],Table1[[#This Row],[Current coupon %]],Table1[[#This Row],[Yield (Annualised)]],Table1[[#This Row],[Coupon Frequency2]])</f>
        <v>11.646572940072822</v>
      </c>
      <c r="Z755" s="26">
        <f>Table1[[#This Row],[Macaulay Duration in Years]]/(1+Table1[[#This Row],[IRR]])</f>
        <v>10.982791955675415</v>
      </c>
      <c r="AA755" s="27">
        <f>VLOOKUP(Table1[[#This Row],[Yield Cluster]],'[1]Cluster Details'!$B$3:$C$16,2,0)</f>
        <v>7.8548801574189142E-2</v>
      </c>
      <c r="AB755" s="28">
        <f>PRICE(Table1[[#This Row],[Issue date]],Table1[[#This Row],[Maturity date]],Table1[[#This Row],[Current coupon %]],Table1[[#This Row],[Average Cluster Yield]],100,Table1[[#This Row],[Coupon Frequency2]])*Table1[[#This Row],[Face value]]/100</f>
        <v>954.85273886676453</v>
      </c>
      <c r="AC755" s="27" t="str">
        <f>IF(Table1[[#This Row],[Ask Price]]&gt;Table1[[#This Row],[Calculated Bond Price]],"Rich","Cheap")</f>
        <v>Rich</v>
      </c>
      <c r="AD755" s="28">
        <f>PRICE(Table1[[#This Row],[Issue date]],Table1[[#This Row],[Maturity date]],Table1[[#This Row],[Current coupon %]],Table1[[#This Row],[Yield (Annualised)]]+$AE$2,100,Table1[[#This Row],[Coupon Frequency2]])*Table1[[#This Row],[Face value]]/100</f>
        <v>1037.6047891041719</v>
      </c>
      <c r="AE755" s="28">
        <f>PRICE(Table1[[#This Row],[Issue date]],Table1[[#This Row],[Maturity date]],Table1[[#This Row],[Current coupon %]],Table1[[#This Row],[Yield (Annualised)]]-$AE$2,100,Table1[[#This Row],[Coupon Frequency2]])*Table1[[#This Row],[Face value]]/100</f>
        <v>1292.5430798703067</v>
      </c>
      <c r="AF755" s="28">
        <f>(Table1[[#This Row],[P (+ shock)]]+Table1[[#This Row],[P (-shock)]]-2*Table1[[#This Row],[Ask Price]])/(2*Table1[[#This Row],[Ask Price]]*($AE$2^2))</f>
        <v>87.220212010729739</v>
      </c>
    </row>
    <row r="756" spans="1:32" x14ac:dyDescent="0.25">
      <c r="A756" s="21" t="s">
        <v>1554</v>
      </c>
      <c r="B756" s="3" t="s">
        <v>1555</v>
      </c>
      <c r="C756" s="3" t="s">
        <v>19</v>
      </c>
      <c r="D756" s="4">
        <v>42432</v>
      </c>
      <c r="E756" s="4">
        <v>46084</v>
      </c>
      <c r="F756" s="3">
        <v>1000000</v>
      </c>
      <c r="G756" s="3" t="s">
        <v>20</v>
      </c>
      <c r="H756" s="3">
        <v>1100874</v>
      </c>
      <c r="I756" s="3" t="s">
        <v>20</v>
      </c>
      <c r="J756" s="3">
        <v>110.08739999999899</v>
      </c>
      <c r="K756" s="3">
        <v>3</v>
      </c>
      <c r="L756" s="5">
        <v>7.0400000000000004E-2</v>
      </c>
      <c r="M756" s="3" t="s">
        <v>21</v>
      </c>
      <c r="N756" s="3">
        <v>167</v>
      </c>
      <c r="O756" s="6">
        <f>Table1[[#This Row],[Current coupon %]]*Table1[[#This Row],[Face value]]/Table1[[#This Row],[Ask Price]]</f>
        <v>6.3949189462190956E-2</v>
      </c>
      <c r="P756" s="3" t="s">
        <v>297</v>
      </c>
      <c r="Q756" s="3" t="s">
        <v>22</v>
      </c>
      <c r="R756">
        <f t="shared" si="11"/>
        <v>10</v>
      </c>
      <c r="S756" s="22" cm="1">
        <f t="array" ref="S756">_xlfn.IFS(Table1[[#This Row],[Coupon frequency]]="Semi-annual",2,Table1[[#This Row],[Coupon frequency]]="Quarterly",4,Table1[[#This Row],[Coupon frequency]]="Annual",1,Table1[[#This Row],[Coupon frequency]]="Every 4 months",3,Table1[[#This Row],[Coupon frequency]]="Monthly",12)</f>
        <v>1</v>
      </c>
      <c r="T756">
        <f>Table1[[#This Row],[Term to Maturity (Years)]]*Table1[[#This Row],[Coupon Frequency2]]</f>
        <v>10</v>
      </c>
      <c r="U756">
        <f>Table1[[#This Row],[Face value]]*Table1[[#This Row],[Current coupon %]]/Table1[[#This Row],[Coupon Frequency2]]</f>
        <v>70400</v>
      </c>
      <c r="V756" s="23">
        <f>RATE(Table1[[#This Row],[Total No. of Coupons]],Table1[[#This Row],[Coupon Amount]],-Table1[[#This Row],[Ask Price]],Table1[[#This Row],[Face value]])</f>
        <v>5.6895339116763317E-2</v>
      </c>
      <c r="W756" s="24">
        <f>Table1[[#This Row],[IRR]]*Table1[[#This Row],[Coupon Frequency2]]</f>
        <v>5.6895339116763317E-2</v>
      </c>
      <c r="X756" s="25" cm="1">
        <f t="array" ref="X75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6" s="26">
        <f>DURATION(Table1[[#This Row],[Issue date]],Table1[[#This Row],[Maturity date]],Table1[[#This Row],[Current coupon %]],Table1[[#This Row],[Yield (Annualised)]],Table1[[#This Row],[Coupon Frequency2]])</f>
        <v>7.6335208774273839</v>
      </c>
      <c r="Z756" s="26">
        <f>Table1[[#This Row],[Macaulay Duration in Years]]/(1+Table1[[#This Row],[IRR]])</f>
        <v>7.2225892147529382</v>
      </c>
      <c r="AA756" s="27">
        <f>VLOOKUP(Table1[[#This Row],[Yield Cluster]],'[1]Cluster Details'!$B$3:$C$16,2,0)</f>
        <v>7.8548801574189142E-2</v>
      </c>
      <c r="AB756" s="28">
        <f>PRICE(Table1[[#This Row],[Issue date]],Table1[[#This Row],[Maturity date]],Table1[[#This Row],[Current coupon %]],Table1[[#This Row],[Average Cluster Yield]],100,Table1[[#This Row],[Coupon Frequency2]])*Table1[[#This Row],[Face value]]/100</f>
        <v>944961.15593533078</v>
      </c>
      <c r="AC756" s="27" t="str">
        <f>IF(Table1[[#This Row],[Ask Price]]&gt;Table1[[#This Row],[Calculated Bond Price]],"Rich","Cheap")</f>
        <v>Rich</v>
      </c>
      <c r="AD756" s="28">
        <f>PRICE(Table1[[#This Row],[Issue date]],Table1[[#This Row],[Maturity date]],Table1[[#This Row],[Current coupon %]],Table1[[#This Row],[Yield (Annualised)]]+$AE$2,100,Table1[[#This Row],[Coupon Frequency2]])*Table1[[#This Row],[Face value]]/100</f>
        <v>1024972.4507549001</v>
      </c>
      <c r="AE756" s="28">
        <f>PRICE(Table1[[#This Row],[Issue date]],Table1[[#This Row],[Maturity date]],Table1[[#This Row],[Current coupon %]],Table1[[#This Row],[Yield (Annualised)]]-$AE$2,100,Table1[[#This Row],[Coupon Frequency2]])*Table1[[#This Row],[Face value]]/100</f>
        <v>1184264.6380807767</v>
      </c>
      <c r="AF756" s="28">
        <f>(Table1[[#This Row],[P (+ shock)]]+Table1[[#This Row],[P (-shock)]]-2*Table1[[#This Row],[Ask Price]])/(2*Table1[[#This Row],[Ask Price]]*($AE$2^2))</f>
        <v>34.014286992320038</v>
      </c>
    </row>
    <row r="757" spans="1:32" x14ac:dyDescent="0.25">
      <c r="A757" s="21" t="s">
        <v>1556</v>
      </c>
      <c r="B757" s="3" t="s">
        <v>1557</v>
      </c>
      <c r="C757" s="3" t="s">
        <v>19</v>
      </c>
      <c r="D757" s="4">
        <v>42282</v>
      </c>
      <c r="E757" s="4">
        <v>47761</v>
      </c>
      <c r="F757" s="3">
        <v>1000</v>
      </c>
      <c r="G757" s="3" t="s">
        <v>20</v>
      </c>
      <c r="H757" s="3">
        <v>1140</v>
      </c>
      <c r="I757" s="3" t="s">
        <v>20</v>
      </c>
      <c r="J757" s="3">
        <v>113.99999999999901</v>
      </c>
      <c r="K757" s="3">
        <v>40</v>
      </c>
      <c r="L757" s="5">
        <v>7.2800000000000004E-2</v>
      </c>
      <c r="M757" s="3" t="s">
        <v>21</v>
      </c>
      <c r="N757" s="3">
        <v>1844</v>
      </c>
      <c r="O757" s="6">
        <f>Table1[[#This Row],[Current coupon %]]*Table1[[#This Row],[Face value]]/Table1[[#This Row],[Ask Price]]</f>
        <v>6.3859649122807019E-2</v>
      </c>
      <c r="P757" s="3" t="s">
        <v>297</v>
      </c>
      <c r="Q757" s="3" t="s">
        <v>22</v>
      </c>
      <c r="R757">
        <f t="shared" si="11"/>
        <v>15</v>
      </c>
      <c r="S757" s="22" cm="1">
        <f t="array" ref="S757">_xlfn.IFS(Table1[[#This Row],[Coupon frequency]]="Semi-annual",2,Table1[[#This Row],[Coupon frequency]]="Quarterly",4,Table1[[#This Row],[Coupon frequency]]="Annual",1,Table1[[#This Row],[Coupon frequency]]="Every 4 months",3,Table1[[#This Row],[Coupon frequency]]="Monthly",12)</f>
        <v>1</v>
      </c>
      <c r="T757">
        <f>Table1[[#This Row],[Term to Maturity (Years)]]*Table1[[#This Row],[Coupon Frequency2]]</f>
        <v>15</v>
      </c>
      <c r="U757">
        <f>Table1[[#This Row],[Face value]]*Table1[[#This Row],[Current coupon %]]/Table1[[#This Row],[Coupon Frequency2]]</f>
        <v>72.8</v>
      </c>
      <c r="V757" s="23">
        <f>RATE(Table1[[#This Row],[Total No. of Coupons]],Table1[[#This Row],[Coupon Amount]],-Table1[[#This Row],[Ask Price]],Table1[[#This Row],[Face value]])</f>
        <v>5.8523915509188708E-2</v>
      </c>
      <c r="W757" s="24">
        <f>Table1[[#This Row],[IRR]]*Table1[[#This Row],[Coupon Frequency2]]</f>
        <v>5.8523915509188708E-2</v>
      </c>
      <c r="X757" s="25" cm="1">
        <f t="array" ref="X75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7" s="26">
        <f>DURATION(Table1[[#This Row],[Issue date]],Table1[[#This Row],[Maturity date]],Table1[[#This Row],[Current coupon %]],Table1[[#This Row],[Yield (Annualised)]],Table1[[#This Row],[Coupon Frequency2]])</f>
        <v>9.9593662743003186</v>
      </c>
      <c r="Z757" s="26">
        <f>Table1[[#This Row],[Macaulay Duration in Years]]/(1+Table1[[#This Row],[IRR]])</f>
        <v>9.4087305240614221</v>
      </c>
      <c r="AA757" s="27">
        <f>VLOOKUP(Table1[[#This Row],[Yield Cluster]],'[1]Cluster Details'!$B$3:$C$16,2,0)</f>
        <v>7.8548801574189142E-2</v>
      </c>
      <c r="AB757" s="28">
        <f>PRICE(Table1[[#This Row],[Issue date]],Table1[[#This Row],[Maturity date]],Table1[[#This Row],[Current coupon %]],Table1[[#This Row],[Average Cluster Yield]],100,Table1[[#This Row],[Coupon Frequency2]])*Table1[[#This Row],[Face value]]/100</f>
        <v>950.3542165141007</v>
      </c>
      <c r="AC757" s="27" t="str">
        <f>IF(Table1[[#This Row],[Ask Price]]&gt;Table1[[#This Row],[Calculated Bond Price]],"Rich","Cheap")</f>
        <v>Rich</v>
      </c>
      <c r="AD757" s="28">
        <f>PRICE(Table1[[#This Row],[Issue date]],Table1[[#This Row],[Maturity date]],Table1[[#This Row],[Current coupon %]],Table1[[#This Row],[Yield (Annualised)]]+$AE$2,100,Table1[[#This Row],[Coupon Frequency2]])*Table1[[#This Row],[Face value]]/100</f>
        <v>1039.3119286312642</v>
      </c>
      <c r="AE757" s="28">
        <f>PRICE(Table1[[#This Row],[Issue date]],Table1[[#This Row],[Maturity date]],Table1[[#This Row],[Current coupon %]],Table1[[#This Row],[Yield (Annualised)]]-$AE$2,100,Table1[[#This Row],[Coupon Frequency2]])*Table1[[#This Row],[Face value]]/100</f>
        <v>1254.5104767019482</v>
      </c>
      <c r="AF757" s="28">
        <f>(Table1[[#This Row],[P (+ shock)]]+Table1[[#This Row],[P (-shock)]]-2*Table1[[#This Row],[Ask Price]])/(2*Table1[[#This Row],[Ask Price]]*($AE$2^2))</f>
        <v>60.624584794791105</v>
      </c>
    </row>
    <row r="758" spans="1:32" x14ac:dyDescent="0.25">
      <c r="A758" s="21" t="s">
        <v>1558</v>
      </c>
      <c r="B758" s="3" t="s">
        <v>1559</v>
      </c>
      <c r="C758" s="3" t="s">
        <v>19</v>
      </c>
      <c r="D758" s="4">
        <v>41359</v>
      </c>
      <c r="E758" s="4">
        <v>48664</v>
      </c>
      <c r="F758" s="3">
        <v>1000</v>
      </c>
      <c r="G758" s="3" t="s">
        <v>20</v>
      </c>
      <c r="H758" s="3">
        <v>1117.0999999999999</v>
      </c>
      <c r="I758" s="3" t="s">
        <v>20</v>
      </c>
      <c r="J758" s="3">
        <v>111.71</v>
      </c>
      <c r="K758" s="3">
        <v>50</v>
      </c>
      <c r="L758" s="5">
        <v>7.0800000000000002E-2</v>
      </c>
      <c r="M758" s="3" t="s">
        <v>21</v>
      </c>
      <c r="N758" s="3">
        <v>2747</v>
      </c>
      <c r="O758" s="6">
        <f>Table1[[#This Row],[Current coupon %]]*Table1[[#This Row],[Face value]]/Table1[[#This Row],[Ask Price]]</f>
        <v>6.3378390475337928E-2</v>
      </c>
      <c r="P758" s="3" t="s">
        <v>54</v>
      </c>
      <c r="Q758" s="3" t="s">
        <v>22</v>
      </c>
      <c r="R758">
        <f t="shared" si="11"/>
        <v>20</v>
      </c>
      <c r="S758" s="22" cm="1">
        <f t="array" ref="S758">_xlfn.IFS(Table1[[#This Row],[Coupon frequency]]="Semi-annual",2,Table1[[#This Row],[Coupon frequency]]="Quarterly",4,Table1[[#This Row],[Coupon frequency]]="Annual",1,Table1[[#This Row],[Coupon frequency]]="Every 4 months",3,Table1[[#This Row],[Coupon frequency]]="Monthly",12)</f>
        <v>1</v>
      </c>
      <c r="T758">
        <f>Table1[[#This Row],[Term to Maturity (Years)]]*Table1[[#This Row],[Coupon Frequency2]]</f>
        <v>20</v>
      </c>
      <c r="U758">
        <f>Table1[[#This Row],[Face value]]*Table1[[#This Row],[Current coupon %]]/Table1[[#This Row],[Coupon Frequency2]]</f>
        <v>70.8</v>
      </c>
      <c r="V758" s="23">
        <f>RATE(Table1[[#This Row],[Total No. of Coupons]],Table1[[#This Row],[Coupon Amount]],-Table1[[#This Row],[Ask Price]],Table1[[#This Row],[Face value]])</f>
        <v>6.0545436334083123E-2</v>
      </c>
      <c r="W758" s="24">
        <f>Table1[[#This Row],[IRR]]*Table1[[#This Row],[Coupon Frequency2]]</f>
        <v>6.0545436334083123E-2</v>
      </c>
      <c r="X758" s="25" cm="1">
        <f t="array" ref="X75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8" s="26">
        <f>DURATION(Table1[[#This Row],[Issue date]],Table1[[#This Row],[Maturity date]],Table1[[#This Row],[Current coupon %]],Table1[[#This Row],[Yield (Annualised)]],Table1[[#This Row],[Coupon Frequency2]])</f>
        <v>11.741547817628479</v>
      </c>
      <c r="Z758" s="26">
        <f>Table1[[#This Row],[Macaulay Duration in Years]]/(1+Table1[[#This Row],[IRR]])</f>
        <v>11.071235060154242</v>
      </c>
      <c r="AA758" s="27">
        <f>VLOOKUP(Table1[[#This Row],[Yield Cluster]],'[1]Cluster Details'!$B$3:$C$16,2,0)</f>
        <v>7.8548801574189142E-2</v>
      </c>
      <c r="AB758" s="28">
        <f>PRICE(Table1[[#This Row],[Issue date]],Table1[[#This Row],[Maturity date]],Table1[[#This Row],[Current coupon %]],Table1[[#This Row],[Average Cluster Yield]],100,Table1[[#This Row],[Coupon Frequency2]])*Table1[[#This Row],[Face value]]/100</f>
        <v>923.09245359819624</v>
      </c>
      <c r="AC758" s="27" t="str">
        <f>IF(Table1[[#This Row],[Ask Price]]&gt;Table1[[#This Row],[Calculated Bond Price]],"Rich","Cheap")</f>
        <v>Rich</v>
      </c>
      <c r="AD758" s="28">
        <f>PRICE(Table1[[#This Row],[Issue date]],Table1[[#This Row],[Maturity date]],Table1[[#This Row],[Current coupon %]],Table1[[#This Row],[Yield (Annualised)]]+$AE$2,100,Table1[[#This Row],[Coupon Frequency2]])*Table1[[#This Row],[Face value]]/100</f>
        <v>1002.6854561289842</v>
      </c>
      <c r="AE758" s="28">
        <f>PRICE(Table1[[#This Row],[Issue date]],Table1[[#This Row],[Maturity date]],Table1[[#This Row],[Current coupon %]],Table1[[#This Row],[Yield (Annualised)]]-$AE$2,100,Table1[[#This Row],[Coupon Frequency2]])*Table1[[#This Row],[Face value]]/100</f>
        <v>1251.2533371621946</v>
      </c>
      <c r="AF758" s="28">
        <f>(Table1[[#This Row],[P (+ shock)]]+Table1[[#This Row],[P (-shock)]]-2*Table1[[#This Row],[Ask Price]])/(2*Table1[[#This Row],[Ask Price]]*($AE$2^2))</f>
        <v>88.348372084767746</v>
      </c>
    </row>
    <row r="759" spans="1:32" x14ac:dyDescent="0.25">
      <c r="A759" s="21" t="s">
        <v>1560</v>
      </c>
      <c r="B759" s="3" t="s">
        <v>1561</v>
      </c>
      <c r="C759" s="3" t="s">
        <v>19</v>
      </c>
      <c r="D759" s="4">
        <v>42451</v>
      </c>
      <c r="E759" s="4">
        <v>47929</v>
      </c>
      <c r="F759" s="3">
        <v>1000</v>
      </c>
      <c r="G759" s="3" t="s">
        <v>20</v>
      </c>
      <c r="H759" s="3">
        <v>1161</v>
      </c>
      <c r="I759" s="3" t="s">
        <v>20</v>
      </c>
      <c r="J759" s="3">
        <v>116.1</v>
      </c>
      <c r="K759" s="3">
        <v>70540</v>
      </c>
      <c r="L759" s="5">
        <v>7.3499999999999996E-2</v>
      </c>
      <c r="M759" s="3" t="s">
        <v>21</v>
      </c>
      <c r="N759" s="3">
        <v>2012</v>
      </c>
      <c r="O759" s="6">
        <f>Table1[[#This Row],[Current coupon %]]*Table1[[#This Row],[Face value]]/Table1[[#This Row],[Ask Price]]</f>
        <v>6.3307493540051676E-2</v>
      </c>
      <c r="P759" s="3" t="s">
        <v>297</v>
      </c>
      <c r="Q759" s="3" t="s">
        <v>22</v>
      </c>
      <c r="R759">
        <f t="shared" si="11"/>
        <v>15</v>
      </c>
      <c r="S759" s="22" cm="1">
        <f t="array" ref="S759">_xlfn.IFS(Table1[[#This Row],[Coupon frequency]]="Semi-annual",2,Table1[[#This Row],[Coupon frequency]]="Quarterly",4,Table1[[#This Row],[Coupon frequency]]="Annual",1,Table1[[#This Row],[Coupon frequency]]="Every 4 months",3,Table1[[#This Row],[Coupon frequency]]="Monthly",12)</f>
        <v>1</v>
      </c>
      <c r="T759">
        <f>Table1[[#This Row],[Term to Maturity (Years)]]*Table1[[#This Row],[Coupon Frequency2]]</f>
        <v>15</v>
      </c>
      <c r="U759">
        <f>Table1[[#This Row],[Face value]]*Table1[[#This Row],[Current coupon %]]/Table1[[#This Row],[Coupon Frequency2]]</f>
        <v>73.5</v>
      </c>
      <c r="V759" s="23">
        <f>RATE(Table1[[#This Row],[Total No. of Coupons]],Table1[[#This Row],[Coupon Amount]],-Table1[[#This Row],[Ask Price]],Table1[[#This Row],[Face value]])</f>
        <v>5.7222515485196683E-2</v>
      </c>
      <c r="W759" s="24">
        <f>Table1[[#This Row],[IRR]]*Table1[[#This Row],[Coupon Frequency2]]</f>
        <v>5.7222515485196683E-2</v>
      </c>
      <c r="X759" s="25" cm="1">
        <f t="array" ref="X75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59" s="26">
        <f>DURATION(Table1[[#This Row],[Issue date]],Table1[[#This Row],[Maturity date]],Table1[[#This Row],[Current coupon %]],Table1[[#This Row],[Yield (Annualised)]],Table1[[#This Row],[Coupon Frequency2]])</f>
        <v>9.9738460274607448</v>
      </c>
      <c r="Z759" s="26">
        <f>Table1[[#This Row],[Macaulay Duration in Years]]/(1+Table1[[#This Row],[IRR]])</f>
        <v>9.434008339184297</v>
      </c>
      <c r="AA759" s="27">
        <f>VLOOKUP(Table1[[#This Row],[Yield Cluster]],'[1]Cluster Details'!$B$3:$C$16,2,0)</f>
        <v>7.8548801574189142E-2</v>
      </c>
      <c r="AB759" s="28">
        <f>PRICE(Table1[[#This Row],[Issue date]],Table1[[#This Row],[Maturity date]],Table1[[#This Row],[Current coupon %]],Table1[[#This Row],[Average Cluster Yield]],100,Table1[[#This Row],[Coupon Frequency2]])*Table1[[#This Row],[Face value]]/100</f>
        <v>956.3993109553769</v>
      </c>
      <c r="AC759" s="27" t="str">
        <f>IF(Table1[[#This Row],[Ask Price]]&gt;Table1[[#This Row],[Calculated Bond Price]],"Rich","Cheap")</f>
        <v>Rich</v>
      </c>
      <c r="AD759" s="28">
        <f>PRICE(Table1[[#This Row],[Issue date]],Table1[[#This Row],[Maturity date]],Table1[[#This Row],[Current coupon %]],Table1[[#This Row],[Yield (Annualised)]]+$AE$2,100,Table1[[#This Row],[Coupon Frequency2]])*Table1[[#This Row],[Face value]]/100</f>
        <v>1058.1914770573974</v>
      </c>
      <c r="AE759" s="28">
        <f>PRICE(Table1[[#This Row],[Issue date]],Table1[[#This Row],[Maturity date]],Table1[[#This Row],[Current coupon %]],Table1[[#This Row],[Yield (Annualised)]]-$AE$2,100,Table1[[#This Row],[Coupon Frequency2]])*Table1[[#This Row],[Face value]]/100</f>
        <v>1277.9449504094855</v>
      </c>
      <c r="AF759" s="28">
        <f>(Table1[[#This Row],[P (+ shock)]]+Table1[[#This Row],[P (-shock)]]-2*Table1[[#This Row],[Ask Price]])/(2*Table1[[#This Row],[Ask Price]]*($AE$2^2))</f>
        <v>60.880393914225259</v>
      </c>
    </row>
    <row r="760" spans="1:32" x14ac:dyDescent="0.25">
      <c r="A760" s="21" t="s">
        <v>1562</v>
      </c>
      <c r="B760" s="3" t="s">
        <v>1563</v>
      </c>
      <c r="C760" s="3" t="s">
        <v>19</v>
      </c>
      <c r="D760" s="4">
        <v>41228</v>
      </c>
      <c r="E760" s="4">
        <v>48533</v>
      </c>
      <c r="F760" s="3">
        <v>1000000</v>
      </c>
      <c r="G760" s="3" t="s">
        <v>20</v>
      </c>
      <c r="H760" s="3">
        <v>1180000</v>
      </c>
      <c r="I760" s="3" t="s">
        <v>20</v>
      </c>
      <c r="J760" s="3">
        <v>118</v>
      </c>
      <c r="K760" s="3">
        <v>138</v>
      </c>
      <c r="L760" s="5">
        <v>7.4099999999999999E-2</v>
      </c>
      <c r="M760" s="3" t="s">
        <v>21</v>
      </c>
      <c r="N760" s="3">
        <v>2616</v>
      </c>
      <c r="O760" s="6">
        <f>Table1[[#This Row],[Current coupon %]]*Table1[[#This Row],[Face value]]/Table1[[#This Row],[Ask Price]]</f>
        <v>6.2796610169491521E-2</v>
      </c>
      <c r="P760" s="3" t="s">
        <v>54</v>
      </c>
      <c r="Q760" s="3" t="s">
        <v>22</v>
      </c>
      <c r="R760">
        <f t="shared" si="11"/>
        <v>20</v>
      </c>
      <c r="S760" s="22" cm="1">
        <f t="array" ref="S760">_xlfn.IFS(Table1[[#This Row],[Coupon frequency]]="Semi-annual",2,Table1[[#This Row],[Coupon frequency]]="Quarterly",4,Table1[[#This Row],[Coupon frequency]]="Annual",1,Table1[[#This Row],[Coupon frequency]]="Every 4 months",3,Table1[[#This Row],[Coupon frequency]]="Monthly",12)</f>
        <v>1</v>
      </c>
      <c r="T760">
        <f>Table1[[#This Row],[Term to Maturity (Years)]]*Table1[[#This Row],[Coupon Frequency2]]</f>
        <v>20</v>
      </c>
      <c r="U760">
        <f>Table1[[#This Row],[Face value]]*Table1[[#This Row],[Current coupon %]]/Table1[[#This Row],[Coupon Frequency2]]</f>
        <v>74100</v>
      </c>
      <c r="V760" s="23">
        <f>RATE(Table1[[#This Row],[Total No. of Coupons]],Table1[[#This Row],[Coupon Amount]],-Table1[[#This Row],[Ask Price]],Table1[[#This Row],[Face value]])</f>
        <v>5.8586390996003157E-2</v>
      </c>
      <c r="W760" s="24">
        <f>Table1[[#This Row],[IRR]]*Table1[[#This Row],[Coupon Frequency2]]</f>
        <v>5.8586390996003157E-2</v>
      </c>
      <c r="X760" s="25" cm="1">
        <f t="array" ref="X76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0" s="26">
        <f>DURATION(Table1[[#This Row],[Issue date]],Table1[[#This Row],[Maturity date]],Table1[[#This Row],[Current coupon %]],Table1[[#This Row],[Yield (Annualised)]],Table1[[#This Row],[Coupon Frequency2]])</f>
        <v>11.727869622225372</v>
      </c>
      <c r="Z760" s="26">
        <f>Table1[[#This Row],[Macaulay Duration in Years]]/(1+Table1[[#This Row],[IRR]])</f>
        <v>11.078802563474152</v>
      </c>
      <c r="AA760" s="27">
        <f>VLOOKUP(Table1[[#This Row],[Yield Cluster]],'[1]Cluster Details'!$B$3:$C$16,2,0)</f>
        <v>7.8548801574189142E-2</v>
      </c>
      <c r="AB760" s="28">
        <f>PRICE(Table1[[#This Row],[Issue date]],Table1[[#This Row],[Maturity date]],Table1[[#This Row],[Current coupon %]],Table1[[#This Row],[Average Cluster Yield]],100,Table1[[#This Row],[Coupon Frequency2]])*Table1[[#This Row],[Face value]]/100</f>
        <v>955845.2477814072</v>
      </c>
      <c r="AC760" s="27" t="str">
        <f>IF(Table1[[#This Row],[Ask Price]]&gt;Table1[[#This Row],[Calculated Bond Price]],"Rich","Cheap")</f>
        <v>Rich</v>
      </c>
      <c r="AD760" s="28">
        <f>PRICE(Table1[[#This Row],[Issue date]],Table1[[#This Row],[Maturity date]],Table1[[#This Row],[Current coupon %]],Table1[[#This Row],[Yield (Annualised)]]+$AE$2,100,Table1[[#This Row],[Coupon Frequency2]])*Table1[[#This Row],[Face value]]/100</f>
        <v>1059058.5505901037</v>
      </c>
      <c r="AE760" s="28">
        <f>PRICE(Table1[[#This Row],[Issue date]],Table1[[#This Row],[Maturity date]],Table1[[#This Row],[Current coupon %]],Table1[[#This Row],[Yield (Annualised)]]-$AE$2,100,Table1[[#This Row],[Coupon Frequency2]])*Table1[[#This Row],[Face value]]/100</f>
        <v>1321801.786515183</v>
      </c>
      <c r="AF760" s="28">
        <f>(Table1[[#This Row],[P (+ shock)]]+Table1[[#This Row],[P (-shock)]]-2*Table1[[#This Row],[Ask Price]])/(2*Table1[[#This Row],[Ask Price]]*($AE$2^2))</f>
        <v>88.391258920706662</v>
      </c>
    </row>
    <row r="761" spans="1:32" x14ac:dyDescent="0.25">
      <c r="A761" s="21" t="s">
        <v>1564</v>
      </c>
      <c r="B761" s="3" t="s">
        <v>1565</v>
      </c>
      <c r="C761" s="3" t="s">
        <v>19</v>
      </c>
      <c r="D761" s="4">
        <v>42294</v>
      </c>
      <c r="E761" s="4">
        <v>49599</v>
      </c>
      <c r="F761" s="3">
        <v>1000</v>
      </c>
      <c r="G761" s="3" t="s">
        <v>20</v>
      </c>
      <c r="H761" s="3">
        <v>1171.0999999999999</v>
      </c>
      <c r="I761" s="3" t="s">
        <v>20</v>
      </c>
      <c r="J761" s="3">
        <v>117.109999999999</v>
      </c>
      <c r="K761" s="3">
        <v>244</v>
      </c>
      <c r="L761" s="5">
        <v>7.3499999999999996E-2</v>
      </c>
      <c r="M761" s="3" t="s">
        <v>21</v>
      </c>
      <c r="N761" s="3">
        <v>3682</v>
      </c>
      <c r="O761" s="6">
        <f>Table1[[#This Row],[Current coupon %]]*Table1[[#This Row],[Face value]]/Table1[[#This Row],[Ask Price]]</f>
        <v>6.2761506276150639E-2</v>
      </c>
      <c r="P761" s="3" t="s">
        <v>54</v>
      </c>
      <c r="Q761" s="3" t="s">
        <v>22</v>
      </c>
      <c r="R761">
        <f t="shared" si="11"/>
        <v>20</v>
      </c>
      <c r="S761" s="22" cm="1">
        <f t="array" ref="S761">_xlfn.IFS(Table1[[#This Row],[Coupon frequency]]="Semi-annual",2,Table1[[#This Row],[Coupon frequency]]="Quarterly",4,Table1[[#This Row],[Coupon frequency]]="Annual",1,Table1[[#This Row],[Coupon frequency]]="Every 4 months",3,Table1[[#This Row],[Coupon frequency]]="Monthly",12)</f>
        <v>1</v>
      </c>
      <c r="T761">
        <f>Table1[[#This Row],[Term to Maturity (Years)]]*Table1[[#This Row],[Coupon Frequency2]]</f>
        <v>20</v>
      </c>
      <c r="U761">
        <f>Table1[[#This Row],[Face value]]*Table1[[#This Row],[Current coupon %]]/Table1[[#This Row],[Coupon Frequency2]]</f>
        <v>73.5</v>
      </c>
      <c r="V761" s="23">
        <f>RATE(Table1[[#This Row],[Total No. of Coupons]],Table1[[#This Row],[Coupon Amount]],-Table1[[#This Row],[Ask Price]],Table1[[#This Row],[Face value]])</f>
        <v>5.8735488522365188E-2</v>
      </c>
      <c r="W761" s="24">
        <f>Table1[[#This Row],[IRR]]*Table1[[#This Row],[Coupon Frequency2]]</f>
        <v>5.8735488522365188E-2</v>
      </c>
      <c r="X761" s="25" cm="1">
        <f t="array" ref="X76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1" s="26">
        <f>DURATION(Table1[[#This Row],[Issue date]],Table1[[#This Row],[Maturity date]],Table1[[#This Row],[Current coupon %]],Table1[[#This Row],[Yield (Annualised)]],Table1[[#This Row],[Coupon Frequency2]])</f>
        <v>11.73935812486433</v>
      </c>
      <c r="Z761" s="26">
        <f>Table1[[#This Row],[Macaulay Duration in Years]]/(1+Table1[[#This Row],[IRR]])</f>
        <v>11.088093534343013</v>
      </c>
      <c r="AA761" s="27">
        <f>VLOOKUP(Table1[[#This Row],[Yield Cluster]],'[1]Cluster Details'!$B$3:$C$16,2,0)</f>
        <v>7.8548801574189142E-2</v>
      </c>
      <c r="AB761" s="28">
        <f>PRICE(Table1[[#This Row],[Issue date]],Table1[[#This Row],[Maturity date]],Table1[[#This Row],[Current coupon %]],Table1[[#This Row],[Average Cluster Yield]],100,Table1[[#This Row],[Coupon Frequency2]])*Table1[[#This Row],[Face value]]/100</f>
        <v>949.89019429355073</v>
      </c>
      <c r="AC761" s="27" t="str">
        <f>IF(Table1[[#This Row],[Ask Price]]&gt;Table1[[#This Row],[Calculated Bond Price]],"Rich","Cheap")</f>
        <v>Rich</v>
      </c>
      <c r="AD761" s="28">
        <f>PRICE(Table1[[#This Row],[Issue date]],Table1[[#This Row],[Maturity date]],Table1[[#This Row],[Current coupon %]],Table1[[#This Row],[Yield (Annualised)]]+$AE$2,100,Table1[[#This Row],[Coupon Frequency2]])*Table1[[#This Row],[Face value]]/100</f>
        <v>1050.9752054572355</v>
      </c>
      <c r="AE761" s="28">
        <f>PRICE(Table1[[#This Row],[Issue date]],Table1[[#This Row],[Maturity date]],Table1[[#This Row],[Current coupon %]],Table1[[#This Row],[Yield (Annualised)]]-$AE$2,100,Table1[[#This Row],[Coupon Frequency2]])*Table1[[#This Row],[Face value]]/100</f>
        <v>1311.9565305076756</v>
      </c>
      <c r="AF761" s="28">
        <f>(Table1[[#This Row],[P (+ shock)]]+Table1[[#This Row],[P (-shock)]]-2*Table1[[#This Row],[Ask Price]])/(2*Table1[[#This Row],[Ask Price]]*($AE$2^2))</f>
        <v>88.513944005257557</v>
      </c>
    </row>
    <row r="762" spans="1:32" x14ac:dyDescent="0.25">
      <c r="A762" s="21" t="s">
        <v>1566</v>
      </c>
      <c r="B762" s="3" t="s">
        <v>1567</v>
      </c>
      <c r="C762" s="3" t="s">
        <v>19</v>
      </c>
      <c r="D762" s="4">
        <v>41541</v>
      </c>
      <c r="E762" s="4">
        <v>48846</v>
      </c>
      <c r="F762" s="3">
        <v>1000</v>
      </c>
      <c r="G762" s="3" t="s">
        <v>20</v>
      </c>
      <c r="H762" s="3">
        <v>1340</v>
      </c>
      <c r="I762" s="3" t="s">
        <v>20</v>
      </c>
      <c r="J762" s="3">
        <v>134</v>
      </c>
      <c r="K762" s="3">
        <v>3</v>
      </c>
      <c r="L762" s="5">
        <v>8.3699999999999997E-2</v>
      </c>
      <c r="M762" s="3" t="s">
        <v>21</v>
      </c>
      <c r="N762" s="3">
        <v>2929</v>
      </c>
      <c r="O762" s="6">
        <f>Table1[[#This Row],[Current coupon %]]*Table1[[#This Row],[Face value]]/Table1[[#This Row],[Ask Price]]</f>
        <v>6.246268656716418E-2</v>
      </c>
      <c r="P762" s="3"/>
      <c r="Q762" s="3" t="s">
        <v>22</v>
      </c>
      <c r="R762">
        <f t="shared" si="11"/>
        <v>20</v>
      </c>
      <c r="S762" s="22" cm="1">
        <f t="array" ref="S762">_xlfn.IFS(Table1[[#This Row],[Coupon frequency]]="Semi-annual",2,Table1[[#This Row],[Coupon frequency]]="Quarterly",4,Table1[[#This Row],[Coupon frequency]]="Annual",1,Table1[[#This Row],[Coupon frequency]]="Every 4 months",3,Table1[[#This Row],[Coupon frequency]]="Monthly",12)</f>
        <v>1</v>
      </c>
      <c r="T762">
        <f>Table1[[#This Row],[Term to Maturity (Years)]]*Table1[[#This Row],[Coupon Frequency2]]</f>
        <v>20</v>
      </c>
      <c r="U762">
        <f>Table1[[#This Row],[Face value]]*Table1[[#This Row],[Current coupon %]]/Table1[[#This Row],[Coupon Frequency2]]</f>
        <v>83.7</v>
      </c>
      <c r="V762" s="23">
        <f>RATE(Table1[[#This Row],[Total No. of Coupons]],Table1[[#This Row],[Coupon Amount]],-Table1[[#This Row],[Ask Price]],Table1[[#This Row],[Face value]])</f>
        <v>5.5201455699548735E-2</v>
      </c>
      <c r="W762" s="24">
        <f>Table1[[#This Row],[IRR]]*Table1[[#This Row],[Coupon Frequency2]]</f>
        <v>5.5201455699548735E-2</v>
      </c>
      <c r="X762" s="25" cm="1">
        <f t="array" ref="X76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2" s="26">
        <f>DURATION(Table1[[#This Row],[Issue date]],Table1[[#This Row],[Maturity date]],Table1[[#This Row],[Current coupon %]],Table1[[#This Row],[Yield (Annualised)]],Table1[[#This Row],[Coupon Frequency2]])</f>
        <v>11.614165581485675</v>
      </c>
      <c r="Z762" s="26">
        <f>Table1[[#This Row],[Macaulay Duration in Years]]/(1+Table1[[#This Row],[IRR]])</f>
        <v>11.006586011375459</v>
      </c>
      <c r="AA762" s="27">
        <f>VLOOKUP(Table1[[#This Row],[Yield Cluster]],'[1]Cluster Details'!$B$3:$C$16,2,0)</f>
        <v>7.8548801574189142E-2</v>
      </c>
      <c r="AB762" s="28">
        <f>PRICE(Table1[[#This Row],[Issue date]],Table1[[#This Row],[Maturity date]],Table1[[#This Row],[Current coupon %]],Table1[[#This Row],[Average Cluster Yield]],100,Table1[[#This Row],[Coupon Frequency2]])*Table1[[#This Row],[Face value]]/100</f>
        <v>1051.1261035871109</v>
      </c>
      <c r="AC762" s="27" t="str">
        <f>IF(Table1[[#This Row],[Ask Price]]&gt;Table1[[#This Row],[Calculated Bond Price]],"Rich","Cheap")</f>
        <v>Rich</v>
      </c>
      <c r="AD762" s="28">
        <f>PRICE(Table1[[#This Row],[Issue date]],Table1[[#This Row],[Maturity date]],Table1[[#This Row],[Current coupon %]],Table1[[#This Row],[Yield (Annualised)]]+$AE$2,100,Table1[[#This Row],[Coupon Frequency2]])*Table1[[#This Row],[Face value]]/100</f>
        <v>1203.5005821046739</v>
      </c>
      <c r="AE762" s="28">
        <f>PRICE(Table1[[#This Row],[Issue date]],Table1[[#This Row],[Maturity date]],Table1[[#This Row],[Current coupon %]],Table1[[#This Row],[Yield (Annualised)]]-$AE$2,100,Table1[[#This Row],[Coupon Frequency2]])*Table1[[#This Row],[Face value]]/100</f>
        <v>1499.9135698280602</v>
      </c>
      <c r="AF762" s="28">
        <f>(Table1[[#This Row],[P (+ shock)]]+Table1[[#This Row],[P (-shock)]]-2*Table1[[#This Row],[Ask Price]])/(2*Table1[[#This Row],[Ask Price]]*($AE$2^2))</f>
        <v>87.366238554977826</v>
      </c>
    </row>
    <row r="763" spans="1:32" x14ac:dyDescent="0.25">
      <c r="A763" s="21" t="s">
        <v>1568</v>
      </c>
      <c r="B763" s="3" t="s">
        <v>1569</v>
      </c>
      <c r="C763" s="3" t="s">
        <v>19</v>
      </c>
      <c r="D763" s="4">
        <v>42359</v>
      </c>
      <c r="E763" s="4">
        <v>49664</v>
      </c>
      <c r="F763" s="3">
        <v>1000</v>
      </c>
      <c r="G763" s="3" t="s">
        <v>20</v>
      </c>
      <c r="H763" s="3">
        <v>1218</v>
      </c>
      <c r="I763" s="3" t="s">
        <v>20</v>
      </c>
      <c r="J763" s="3">
        <v>121.8</v>
      </c>
      <c r="K763" s="3">
        <v>300</v>
      </c>
      <c r="L763" s="5">
        <v>7.4999999999999997E-2</v>
      </c>
      <c r="M763" s="3" t="s">
        <v>21</v>
      </c>
      <c r="N763" s="3">
        <v>3747</v>
      </c>
      <c r="O763" s="6">
        <f>Table1[[#This Row],[Current coupon %]]*Table1[[#This Row],[Face value]]/Table1[[#This Row],[Ask Price]]</f>
        <v>6.1576354679802957E-2</v>
      </c>
      <c r="P763" s="3" t="s">
        <v>297</v>
      </c>
      <c r="Q763" s="3" t="s">
        <v>22</v>
      </c>
      <c r="R763">
        <f t="shared" si="11"/>
        <v>20</v>
      </c>
      <c r="S763" s="22" cm="1">
        <f t="array" ref="S763">_xlfn.IFS(Table1[[#This Row],[Coupon frequency]]="Semi-annual",2,Table1[[#This Row],[Coupon frequency]]="Quarterly",4,Table1[[#This Row],[Coupon frequency]]="Annual",1,Table1[[#This Row],[Coupon frequency]]="Every 4 months",3,Table1[[#This Row],[Coupon frequency]]="Monthly",12)</f>
        <v>1</v>
      </c>
      <c r="T763">
        <f>Table1[[#This Row],[Term to Maturity (Years)]]*Table1[[#This Row],[Coupon Frequency2]]</f>
        <v>20</v>
      </c>
      <c r="U763">
        <f>Table1[[#This Row],[Face value]]*Table1[[#This Row],[Current coupon %]]/Table1[[#This Row],[Coupon Frequency2]]</f>
        <v>75</v>
      </c>
      <c r="V763" s="23">
        <f>RATE(Table1[[#This Row],[Total No. of Coupons]],Table1[[#This Row],[Coupon Amount]],-Table1[[#This Row],[Ask Price]],Table1[[#This Row],[Face value]])</f>
        <v>5.652622130631229E-2</v>
      </c>
      <c r="W763" s="24">
        <f>Table1[[#This Row],[IRR]]*Table1[[#This Row],[Coupon Frequency2]]</f>
        <v>5.652622130631229E-2</v>
      </c>
      <c r="X763" s="25" cm="1">
        <f t="array" ref="X763">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3" s="26">
        <f>DURATION(Table1[[#This Row],[Issue date]],Table1[[#This Row],[Maturity date]],Table1[[#This Row],[Current coupon %]],Table1[[#This Row],[Yield (Annualised)]],Table1[[#This Row],[Coupon Frequency2]])</f>
        <v>11.794587601270193</v>
      </c>
      <c r="Z763" s="26">
        <f>Table1[[#This Row],[Macaulay Duration in Years]]/(1+Table1[[#This Row],[IRR]])</f>
        <v>11.163554073165459</v>
      </c>
      <c r="AA763" s="27">
        <f>VLOOKUP(Table1[[#This Row],[Yield Cluster]],'[1]Cluster Details'!$B$3:$C$16,2,0)</f>
        <v>7.8548801574189142E-2</v>
      </c>
      <c r="AB763" s="28">
        <f>PRICE(Table1[[#This Row],[Issue date]],Table1[[#This Row],[Maturity date]],Table1[[#This Row],[Current coupon %]],Table1[[#This Row],[Average Cluster Yield]],100,Table1[[#This Row],[Coupon Frequency2]])*Table1[[#This Row],[Face value]]/100</f>
        <v>964.77782801319177</v>
      </c>
      <c r="AC763" s="27" t="str">
        <f>IF(Table1[[#This Row],[Ask Price]]&gt;Table1[[#This Row],[Calculated Bond Price]],"Rich","Cheap")</f>
        <v>Rich</v>
      </c>
      <c r="AD763" s="28">
        <f>PRICE(Table1[[#This Row],[Issue date]],Table1[[#This Row],[Maturity date]],Table1[[#This Row],[Current coupon %]],Table1[[#This Row],[Yield (Annualised)]]+$AE$2,100,Table1[[#This Row],[Coupon Frequency2]])*Table1[[#This Row],[Face value]]/100</f>
        <v>1092.2470115727172</v>
      </c>
      <c r="AE763" s="28">
        <f>PRICE(Table1[[#This Row],[Issue date]],Table1[[#This Row],[Maturity date]],Table1[[#This Row],[Current coupon %]],Table1[[#This Row],[Yield (Annualised)]]-$AE$2,100,Table1[[#This Row],[Coupon Frequency2]])*Table1[[#This Row],[Face value]]/100</f>
        <v>1365.5350223023297</v>
      </c>
      <c r="AF763" s="28">
        <f>(Table1[[#This Row],[P (+ shock)]]+Table1[[#This Row],[P (-shock)]]-2*Table1[[#This Row],[Ask Price]])/(2*Table1[[#This Row],[Ask Price]]*($AE$2^2))</f>
        <v>89.417216235825492</v>
      </c>
    </row>
    <row r="764" spans="1:32" x14ac:dyDescent="0.25">
      <c r="A764" s="21" t="s">
        <v>1570</v>
      </c>
      <c r="B764" s="3" t="s">
        <v>1571</v>
      </c>
      <c r="C764" s="3" t="s">
        <v>19</v>
      </c>
      <c r="D764" s="4">
        <v>42294</v>
      </c>
      <c r="E764" s="4">
        <v>49599</v>
      </c>
      <c r="F764" s="3">
        <v>1000</v>
      </c>
      <c r="G764" s="3" t="s">
        <v>20</v>
      </c>
      <c r="H764" s="3">
        <v>1237.8499999999999</v>
      </c>
      <c r="I764" s="3" t="s">
        <v>20</v>
      </c>
      <c r="J764" s="3">
        <v>123.785</v>
      </c>
      <c r="K764" s="3">
        <v>70</v>
      </c>
      <c r="L764" s="5">
        <v>7.5999999999999998E-2</v>
      </c>
      <c r="M764" s="3" t="s">
        <v>21</v>
      </c>
      <c r="N764" s="3">
        <v>3682</v>
      </c>
      <c r="O764" s="6">
        <f>Table1[[#This Row],[Current coupon %]]*Table1[[#This Row],[Face value]]/Table1[[#This Row],[Ask Price]]</f>
        <v>6.139677666922487E-2</v>
      </c>
      <c r="P764" s="3" t="s">
        <v>54</v>
      </c>
      <c r="Q764" s="3" t="s">
        <v>22</v>
      </c>
      <c r="R764">
        <f t="shared" si="11"/>
        <v>20</v>
      </c>
      <c r="S764" s="22" cm="1">
        <f t="array" ref="S764">_xlfn.IFS(Table1[[#This Row],[Coupon frequency]]="Semi-annual",2,Table1[[#This Row],[Coupon frequency]]="Quarterly",4,Table1[[#This Row],[Coupon frequency]]="Annual",1,Table1[[#This Row],[Coupon frequency]]="Every 4 months",3,Table1[[#This Row],[Coupon frequency]]="Monthly",12)</f>
        <v>1</v>
      </c>
      <c r="T764">
        <f>Table1[[#This Row],[Term to Maturity (Years)]]*Table1[[#This Row],[Coupon Frequency2]]</f>
        <v>20</v>
      </c>
      <c r="U764">
        <f>Table1[[#This Row],[Face value]]*Table1[[#This Row],[Current coupon %]]/Table1[[#This Row],[Coupon Frequency2]]</f>
        <v>76</v>
      </c>
      <c r="V764" s="23">
        <f>RATE(Table1[[#This Row],[Total No. of Coupons]],Table1[[#This Row],[Coupon Amount]],-Table1[[#This Row],[Ask Price]],Table1[[#This Row],[Face value]])</f>
        <v>5.5941168642584152E-2</v>
      </c>
      <c r="W764" s="24">
        <f>Table1[[#This Row],[IRR]]*Table1[[#This Row],[Coupon Frequency2]]</f>
        <v>5.5941168642584152E-2</v>
      </c>
      <c r="X764" s="25" cm="1">
        <f t="array" ref="X764">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4" s="26">
        <f>DURATION(Table1[[#This Row],[Issue date]],Table1[[#This Row],[Maturity date]],Table1[[#This Row],[Current coupon %]],Table1[[#This Row],[Yield (Annualised)]],Table1[[#This Row],[Coupon Frequency2]])</f>
        <v>11.791561969023546</v>
      </c>
      <c r="Z764" s="26">
        <f>Table1[[#This Row],[Macaulay Duration in Years]]/(1+Table1[[#This Row],[IRR]])</f>
        <v>11.166873988047683</v>
      </c>
      <c r="AA764" s="27">
        <f>VLOOKUP(Table1[[#This Row],[Yield Cluster]],'[1]Cluster Details'!$B$3:$C$16,2,0)</f>
        <v>7.8548801574189142E-2</v>
      </c>
      <c r="AB764" s="28">
        <f>PRICE(Table1[[#This Row],[Issue date]],Table1[[#This Row],[Maturity date]],Table1[[#This Row],[Current coupon %]],Table1[[#This Row],[Average Cluster Yield]],100,Table1[[#This Row],[Coupon Frequency2]])*Table1[[#This Row],[Face value]]/100</f>
        <v>974.70291715961935</v>
      </c>
      <c r="AC764" s="27" t="str">
        <f>IF(Table1[[#This Row],[Ask Price]]&gt;Table1[[#This Row],[Calculated Bond Price]],"Rich","Cheap")</f>
        <v>Rich</v>
      </c>
      <c r="AD764" s="28">
        <f>PRICE(Table1[[#This Row],[Issue date]],Table1[[#This Row],[Maturity date]],Table1[[#This Row],[Current coupon %]],Table1[[#This Row],[Yield (Annualised)]]+$AE$2,100,Table1[[#This Row],[Coupon Frequency2]])*Table1[[#This Row],[Face value]]/100</f>
        <v>1110.009494495305</v>
      </c>
      <c r="AE764" s="28">
        <f>PRICE(Table1[[#This Row],[Issue date]],Table1[[#This Row],[Maturity date]],Table1[[#This Row],[Current coupon %]],Table1[[#This Row],[Yield (Annualised)]]-$AE$2,100,Table1[[#This Row],[Coupon Frequency2]])*Table1[[#This Row],[Face value]]/100</f>
        <v>1387.8340209315866</v>
      </c>
      <c r="AF764" s="28">
        <f>(Table1[[#This Row],[P (+ shock)]]+Table1[[#This Row],[P (-shock)]]-2*Table1[[#This Row],[Ask Price]])/(2*Table1[[#This Row],[Ask Price]]*($AE$2^2))</f>
        <v>89.443452061606862</v>
      </c>
    </row>
    <row r="765" spans="1:32" x14ac:dyDescent="0.25">
      <c r="A765" s="21" t="s">
        <v>1572</v>
      </c>
      <c r="B765" s="3" t="s">
        <v>1573</v>
      </c>
      <c r="C765" s="3" t="s">
        <v>19</v>
      </c>
      <c r="D765" s="4">
        <v>42313</v>
      </c>
      <c r="E765" s="4">
        <v>49618</v>
      </c>
      <c r="F765" s="3">
        <v>1000</v>
      </c>
      <c r="G765" s="3" t="s">
        <v>20</v>
      </c>
      <c r="H765" s="3">
        <v>1224</v>
      </c>
      <c r="I765" s="3" t="s">
        <v>20</v>
      </c>
      <c r="J765" s="3">
        <v>122.399999999999</v>
      </c>
      <c r="K765" s="3">
        <v>20</v>
      </c>
      <c r="L765" s="5">
        <v>7.4299999999999991E-2</v>
      </c>
      <c r="M765" s="3" t="s">
        <v>21</v>
      </c>
      <c r="N765" s="3">
        <v>3701</v>
      </c>
      <c r="O765" s="6">
        <f>Table1[[#This Row],[Current coupon %]]*Table1[[#This Row],[Face value]]/Table1[[#This Row],[Ask Price]]</f>
        <v>6.0702614379084967E-2</v>
      </c>
      <c r="P765" s="3"/>
      <c r="Q765" s="3" t="s">
        <v>22</v>
      </c>
      <c r="R765">
        <f t="shared" si="11"/>
        <v>20</v>
      </c>
      <c r="S765" s="22" cm="1">
        <f t="array" ref="S765">_xlfn.IFS(Table1[[#This Row],[Coupon frequency]]="Semi-annual",2,Table1[[#This Row],[Coupon frequency]]="Quarterly",4,Table1[[#This Row],[Coupon frequency]]="Annual",1,Table1[[#This Row],[Coupon frequency]]="Every 4 months",3,Table1[[#This Row],[Coupon frequency]]="Monthly",12)</f>
        <v>1</v>
      </c>
      <c r="T765">
        <f>Table1[[#This Row],[Term to Maturity (Years)]]*Table1[[#This Row],[Coupon Frequency2]]</f>
        <v>20</v>
      </c>
      <c r="U765">
        <f>Table1[[#This Row],[Face value]]*Table1[[#This Row],[Current coupon %]]/Table1[[#This Row],[Coupon Frequency2]]</f>
        <v>74.3</v>
      </c>
      <c r="V765" s="23">
        <f>RATE(Table1[[#This Row],[Total No. of Coupons]],Table1[[#This Row],[Coupon Amount]],-Table1[[#This Row],[Ask Price]],Table1[[#This Row],[Face value]])</f>
        <v>5.54809627576398E-2</v>
      </c>
      <c r="W765" s="24">
        <f>Table1[[#This Row],[IRR]]*Table1[[#This Row],[Coupon Frequency2]]</f>
        <v>5.54809627576398E-2</v>
      </c>
      <c r="X765" s="25" cm="1">
        <f t="array" ref="X765">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5" s="26">
        <f>DURATION(Table1[[#This Row],[Issue date]],Table1[[#This Row],[Maturity date]],Table1[[#This Row],[Current coupon %]],Table1[[#This Row],[Yield (Annualised)]],Table1[[#This Row],[Coupon Frequency2]])</f>
        <v>11.863301077684278</v>
      </c>
      <c r="Z765" s="26">
        <f>Table1[[#This Row],[Macaulay Duration in Years]]/(1+Table1[[#This Row],[IRR]])</f>
        <v>11.23971108554076</v>
      </c>
      <c r="AA765" s="27">
        <f>VLOOKUP(Table1[[#This Row],[Yield Cluster]],'[1]Cluster Details'!$B$3:$C$16,2,0)</f>
        <v>7.8548801574189142E-2</v>
      </c>
      <c r="AB765" s="28">
        <f>PRICE(Table1[[#This Row],[Issue date]],Table1[[#This Row],[Maturity date]],Table1[[#This Row],[Current coupon %]],Table1[[#This Row],[Average Cluster Yield]],100,Table1[[#This Row],[Coupon Frequency2]])*Table1[[#This Row],[Face value]]/100</f>
        <v>957.83026561069255</v>
      </c>
      <c r="AC765" s="27" t="str">
        <f>IF(Table1[[#This Row],[Ask Price]]&gt;Table1[[#This Row],[Calculated Bond Price]],"Rich","Cheap")</f>
        <v>Rich</v>
      </c>
      <c r="AD765" s="28">
        <f>PRICE(Table1[[#This Row],[Issue date]],Table1[[#This Row],[Maturity date]],Table1[[#This Row],[Current coupon %]],Table1[[#This Row],[Yield (Annualised)]]+$AE$2,100,Table1[[#This Row],[Coupon Frequency2]])*Table1[[#This Row],[Face value]]/100</f>
        <v>1096.8024814946375</v>
      </c>
      <c r="AE765" s="28">
        <f>PRICE(Table1[[#This Row],[Issue date]],Table1[[#This Row],[Maturity date]],Table1[[#This Row],[Current coupon %]],Table1[[#This Row],[Yield (Annualised)]]-$AE$2,100,Table1[[#This Row],[Coupon Frequency2]])*Table1[[#This Row],[Face value]]/100</f>
        <v>1373.3187448091164</v>
      </c>
      <c r="AF765" s="28">
        <f>(Table1[[#This Row],[P (+ shock)]]+Table1[[#This Row],[P (-shock)]]-2*Table1[[#This Row],[Ask Price]])/(2*Table1[[#This Row],[Ask Price]]*($AE$2^2))</f>
        <v>90.364486534943438</v>
      </c>
    </row>
    <row r="766" spans="1:32" x14ac:dyDescent="0.25">
      <c r="A766" s="21" t="s">
        <v>1574</v>
      </c>
      <c r="B766" s="3" t="s">
        <v>1575</v>
      </c>
      <c r="C766" s="3" t="s">
        <v>19</v>
      </c>
      <c r="D766" s="4">
        <v>42313</v>
      </c>
      <c r="E766" s="4">
        <v>49618</v>
      </c>
      <c r="F766" s="3">
        <v>1000</v>
      </c>
      <c r="G766" s="3" t="s">
        <v>20</v>
      </c>
      <c r="H766" s="3">
        <v>1186</v>
      </c>
      <c r="I766" s="3" t="s">
        <v>20</v>
      </c>
      <c r="J766" s="3">
        <v>118.6</v>
      </c>
      <c r="K766" s="3">
        <v>2000</v>
      </c>
      <c r="L766" s="5">
        <v>7.1800000000000003E-2</v>
      </c>
      <c r="M766" s="3" t="s">
        <v>21</v>
      </c>
      <c r="N766" s="3">
        <v>3701</v>
      </c>
      <c r="O766" s="6">
        <f>Table1[[#This Row],[Current coupon %]]*Table1[[#This Row],[Face value]]/Table1[[#This Row],[Ask Price]]</f>
        <v>6.053962900505902E-2</v>
      </c>
      <c r="P766" s="3"/>
      <c r="Q766" s="3" t="s">
        <v>22</v>
      </c>
      <c r="R766">
        <f t="shared" si="11"/>
        <v>20</v>
      </c>
      <c r="S766" s="22" cm="1">
        <f t="array" ref="S766">_xlfn.IFS(Table1[[#This Row],[Coupon frequency]]="Semi-annual",2,Table1[[#This Row],[Coupon frequency]]="Quarterly",4,Table1[[#This Row],[Coupon frequency]]="Annual",1,Table1[[#This Row],[Coupon frequency]]="Every 4 months",3,Table1[[#This Row],[Coupon frequency]]="Monthly",12)</f>
        <v>1</v>
      </c>
      <c r="T766">
        <f>Table1[[#This Row],[Term to Maturity (Years)]]*Table1[[#This Row],[Coupon Frequency2]]</f>
        <v>20</v>
      </c>
      <c r="U766">
        <f>Table1[[#This Row],[Face value]]*Table1[[#This Row],[Current coupon %]]/Table1[[#This Row],[Coupon Frequency2]]</f>
        <v>71.8</v>
      </c>
      <c r="V766" s="23">
        <f>RATE(Table1[[#This Row],[Total No. of Coupons]],Table1[[#This Row],[Coupon Amount]],-Table1[[#This Row],[Ask Price]],Table1[[#This Row],[Face value]])</f>
        <v>5.6094061773830681E-2</v>
      </c>
      <c r="W766" s="24">
        <f>Table1[[#This Row],[IRR]]*Table1[[#This Row],[Coupon Frequency2]]</f>
        <v>5.6094061773830681E-2</v>
      </c>
      <c r="X766" s="25" cm="1">
        <f t="array" ref="X766">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6" s="26">
        <f>DURATION(Table1[[#This Row],[Issue date]],Table1[[#This Row],[Maturity date]],Table1[[#This Row],[Current coupon %]],Table1[[#This Row],[Yield (Annualised)]],Table1[[#This Row],[Coupon Frequency2]])</f>
        <v>11.913118369343762</v>
      </c>
      <c r="Z766" s="26">
        <f>Table1[[#This Row],[Macaulay Duration in Years]]/(1+Table1[[#This Row],[IRR]])</f>
        <v>11.280357309588807</v>
      </c>
      <c r="AA766" s="27">
        <f>VLOOKUP(Table1[[#This Row],[Yield Cluster]],'[1]Cluster Details'!$B$3:$C$16,2,0)</f>
        <v>7.8548801574189142E-2</v>
      </c>
      <c r="AB766" s="28">
        <f>PRICE(Table1[[#This Row],[Issue date]],Table1[[#This Row],[Maturity date]],Table1[[#This Row],[Current coupon %]],Table1[[#This Row],[Average Cluster Yield]],100,Table1[[#This Row],[Coupon Frequency2]])*Table1[[#This Row],[Face value]]/100</f>
        <v>933.01754274462348</v>
      </c>
      <c r="AC766" s="27" t="str">
        <f>IF(Table1[[#This Row],[Ask Price]]&gt;Table1[[#This Row],[Calculated Bond Price]],"Rich","Cheap")</f>
        <v>Rich</v>
      </c>
      <c r="AD766" s="28">
        <f>PRICE(Table1[[#This Row],[Issue date]],Table1[[#This Row],[Maturity date]],Table1[[#This Row],[Current coupon %]],Table1[[#This Row],[Yield (Annualised)]]+$AE$2,100,Table1[[#This Row],[Coupon Frequency2]])*Table1[[#This Row],[Face value]]/100</f>
        <v>1062.3282023948257</v>
      </c>
      <c r="AE766" s="28">
        <f>PRICE(Table1[[#This Row],[Issue date]],Table1[[#This Row],[Maturity date]],Table1[[#This Row],[Current coupon %]],Table1[[#This Row],[Yield (Annualised)]]-$AE$2,100,Table1[[#This Row],[Coupon Frequency2]])*Table1[[#This Row],[Face value]]/100</f>
        <v>1331.2336393085266</v>
      </c>
      <c r="AF766" s="28">
        <f>(Table1[[#This Row],[P (+ shock)]]+Table1[[#This Row],[P (-shock)]]-2*Table1[[#This Row],[Ask Price]])/(2*Table1[[#This Row],[Ask Price]]*($AE$2^2))</f>
        <v>90.901524887655981</v>
      </c>
    </row>
    <row r="767" spans="1:32" x14ac:dyDescent="0.25">
      <c r="A767" s="21" t="s">
        <v>1576</v>
      </c>
      <c r="B767" s="3" t="s">
        <v>1577</v>
      </c>
      <c r="C767" s="3" t="s">
        <v>19</v>
      </c>
      <c r="D767" s="4">
        <v>42282</v>
      </c>
      <c r="E767" s="4">
        <v>49587</v>
      </c>
      <c r="F767" s="3">
        <v>1000</v>
      </c>
      <c r="G767" s="3" t="s">
        <v>20</v>
      </c>
      <c r="H767" s="3">
        <v>1269</v>
      </c>
      <c r="I767" s="3" t="s">
        <v>20</v>
      </c>
      <c r="J767" s="3">
        <v>126.899999999999</v>
      </c>
      <c r="K767" s="3">
        <v>5</v>
      </c>
      <c r="L767" s="5">
        <v>7.6200000000000004E-2</v>
      </c>
      <c r="M767" s="3" t="s">
        <v>21</v>
      </c>
      <c r="N767" s="3">
        <v>3670</v>
      </c>
      <c r="O767" s="6">
        <f>Table1[[#This Row],[Current coupon %]]*Table1[[#This Row],[Face value]]/Table1[[#This Row],[Ask Price]]</f>
        <v>6.0047281323877072E-2</v>
      </c>
      <c r="P767" s="3" t="s">
        <v>297</v>
      </c>
      <c r="Q767" s="3" t="s">
        <v>22</v>
      </c>
      <c r="R767">
        <f t="shared" si="11"/>
        <v>20</v>
      </c>
      <c r="S767" s="22" cm="1">
        <f t="array" ref="S767">_xlfn.IFS(Table1[[#This Row],[Coupon frequency]]="Semi-annual",2,Table1[[#This Row],[Coupon frequency]]="Quarterly",4,Table1[[#This Row],[Coupon frequency]]="Annual",1,Table1[[#This Row],[Coupon frequency]]="Every 4 months",3,Table1[[#This Row],[Coupon frequency]]="Monthly",12)</f>
        <v>1</v>
      </c>
      <c r="T767">
        <f>Table1[[#This Row],[Term to Maturity (Years)]]*Table1[[#This Row],[Coupon Frequency2]]</f>
        <v>20</v>
      </c>
      <c r="U767">
        <f>Table1[[#This Row],[Face value]]*Table1[[#This Row],[Current coupon %]]/Table1[[#This Row],[Coupon Frequency2]]</f>
        <v>76.2</v>
      </c>
      <c r="V767" s="23">
        <f>RATE(Table1[[#This Row],[Total No. of Coupons]],Table1[[#This Row],[Coupon Amount]],-Table1[[#This Row],[Ask Price]],Table1[[#This Row],[Face value]])</f>
        <v>5.3895990178756008E-2</v>
      </c>
      <c r="W767" s="24">
        <f>Table1[[#This Row],[IRR]]*Table1[[#This Row],[Coupon Frequency2]]</f>
        <v>5.3895990178756008E-2</v>
      </c>
      <c r="X767" s="25" cm="1">
        <f t="array" ref="X767">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7" s="26">
        <f>DURATION(Table1[[#This Row],[Issue date]],Table1[[#This Row],[Maturity date]],Table1[[#This Row],[Current coupon %]],Table1[[#This Row],[Yield (Annualised)]],Table1[[#This Row],[Coupon Frequency2]])</f>
        <v>11.878675275455974</v>
      </c>
      <c r="Z767" s="26">
        <f>Table1[[#This Row],[Macaulay Duration in Years]]/(1+Table1[[#This Row],[IRR]])</f>
        <v>11.271202648224499</v>
      </c>
      <c r="AA767" s="27">
        <f>VLOOKUP(Table1[[#This Row],[Yield Cluster]],'[1]Cluster Details'!$B$3:$C$16,2,0)</f>
        <v>7.8548801574189142E-2</v>
      </c>
      <c r="AB767" s="28">
        <f>PRICE(Table1[[#This Row],[Issue date]],Table1[[#This Row],[Maturity date]],Table1[[#This Row],[Current coupon %]],Table1[[#This Row],[Average Cluster Yield]],100,Table1[[#This Row],[Coupon Frequency2]])*Table1[[#This Row],[Face value]]/100</f>
        <v>976.68793498890477</v>
      </c>
      <c r="AC767" s="27" t="str">
        <f>IF(Table1[[#This Row],[Ask Price]]&gt;Table1[[#This Row],[Calculated Bond Price]],"Rich","Cheap")</f>
        <v>Rich</v>
      </c>
      <c r="AD767" s="28">
        <f>PRICE(Table1[[#This Row],[Issue date]],Table1[[#This Row],[Maturity date]],Table1[[#This Row],[Current coupon %]],Table1[[#This Row],[Yield (Annualised)]]+$AE$2,100,Table1[[#This Row],[Coupon Frequency2]])*Table1[[#This Row],[Face value]]/100</f>
        <v>1136.7688249664341</v>
      </c>
      <c r="AE767" s="28">
        <f>PRICE(Table1[[#This Row],[Issue date]],Table1[[#This Row],[Maturity date]],Table1[[#This Row],[Current coupon %]],Table1[[#This Row],[Yield (Annualised)]]-$AE$2,100,Table1[[#This Row],[Coupon Frequency2]])*Table1[[#This Row],[Face value]]/100</f>
        <v>1424.2574014406314</v>
      </c>
      <c r="AF767" s="28">
        <f>(Table1[[#This Row],[P (+ shock)]]+Table1[[#This Row],[P (-shock)]]-2*Table1[[#This Row],[Ask Price]])/(2*Table1[[#This Row],[Ask Price]]*($AE$2^2))</f>
        <v>90.725872368263282</v>
      </c>
    </row>
    <row r="768" spans="1:32" x14ac:dyDescent="0.25">
      <c r="A768" s="21" t="s">
        <v>1578</v>
      </c>
      <c r="B768" s="3" t="s">
        <v>1579</v>
      </c>
      <c r="C768" s="3" t="s">
        <v>19</v>
      </c>
      <c r="D768" s="4">
        <v>42294</v>
      </c>
      <c r="E768" s="4">
        <v>45947</v>
      </c>
      <c r="F768" s="3">
        <v>1000</v>
      </c>
      <c r="G768" s="3" t="s">
        <v>20</v>
      </c>
      <c r="H768" s="3">
        <v>1235.8</v>
      </c>
      <c r="I768" s="3" t="s">
        <v>20</v>
      </c>
      <c r="J768" s="3">
        <v>123.58</v>
      </c>
      <c r="K768" s="3">
        <v>8</v>
      </c>
      <c r="L768" s="5">
        <v>7.1099999999999997E-2</v>
      </c>
      <c r="M768" s="3" t="s">
        <v>21</v>
      </c>
      <c r="N768" s="3">
        <v>30</v>
      </c>
      <c r="O768" s="6">
        <f>Table1[[#This Row],[Current coupon %]]*Table1[[#This Row],[Face value]]/Table1[[#This Row],[Ask Price]]</f>
        <v>5.753358148567729E-2</v>
      </c>
      <c r="P768" s="3" t="s">
        <v>54</v>
      </c>
      <c r="Q768" s="3" t="s">
        <v>22</v>
      </c>
      <c r="R768">
        <f t="shared" si="11"/>
        <v>10</v>
      </c>
      <c r="S768" s="22" cm="1">
        <f t="array" ref="S768">_xlfn.IFS(Table1[[#This Row],[Coupon frequency]]="Semi-annual",2,Table1[[#This Row],[Coupon frequency]]="Quarterly",4,Table1[[#This Row],[Coupon frequency]]="Annual",1,Table1[[#This Row],[Coupon frequency]]="Every 4 months",3,Table1[[#This Row],[Coupon frequency]]="Monthly",12)</f>
        <v>1</v>
      </c>
      <c r="T768">
        <f>Table1[[#This Row],[Term to Maturity (Years)]]*Table1[[#This Row],[Coupon Frequency2]]</f>
        <v>10</v>
      </c>
      <c r="U768">
        <f>Table1[[#This Row],[Face value]]*Table1[[#This Row],[Current coupon %]]/Table1[[#This Row],[Coupon Frequency2]]</f>
        <v>71.099999999999994</v>
      </c>
      <c r="V768" s="23">
        <f>RATE(Table1[[#This Row],[Total No. of Coupons]],Table1[[#This Row],[Coupon Amount]],-Table1[[#This Row],[Ask Price]],Table1[[#This Row],[Face value]])</f>
        <v>4.1771106952096987E-2</v>
      </c>
      <c r="W768" s="24">
        <f>Table1[[#This Row],[IRR]]*Table1[[#This Row],[Coupon Frequency2]]</f>
        <v>4.1771106952096987E-2</v>
      </c>
      <c r="X768" s="25" cm="1">
        <f t="array" ref="X768">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768" s="26">
        <f>DURATION(Table1[[#This Row],[Issue date]],Table1[[#This Row],[Maturity date]],Table1[[#This Row],[Current coupon %]],Table1[[#This Row],[Yield (Annualised)]],Table1[[#This Row],[Coupon Frequency2]])</f>
        <v>7.7627467038803344</v>
      </c>
      <c r="Z768" s="26">
        <f>Table1[[#This Row],[Macaulay Duration in Years]]/(1+Table1[[#This Row],[IRR]])</f>
        <v>7.4514897294394666</v>
      </c>
      <c r="AA768" s="27">
        <f>VLOOKUP(Table1[[#This Row],[Yield Cluster]],'[1]Cluster Details'!$B$3:$C$16,2,0)</f>
        <v>3.4641747232266588E-2</v>
      </c>
      <c r="AB768" s="28">
        <f>PRICE(Table1[[#This Row],[Issue date]],Table1[[#This Row],[Maturity date]],Table1[[#This Row],[Current coupon %]],Table1[[#This Row],[Average Cluster Yield]],100,Table1[[#This Row],[Coupon Frequency2]])*Table1[[#This Row],[Face value]]/100</f>
        <v>1303.7571469793529</v>
      </c>
      <c r="AC768" s="27" t="str">
        <f>IF(Table1[[#This Row],[Ask Price]]&gt;Table1[[#This Row],[Calculated Bond Price]],"Rich","Cheap")</f>
        <v>Cheap</v>
      </c>
      <c r="AD768" s="28">
        <f>PRICE(Table1[[#This Row],[Issue date]],Table1[[#This Row],[Maturity date]],Table1[[#This Row],[Current coupon %]],Table1[[#This Row],[Yield (Annualised)]]+$AE$2,100,Table1[[#This Row],[Coupon Frequency2]])*Table1[[#This Row],[Face value]]/100</f>
        <v>1147.9771603191473</v>
      </c>
      <c r="AE768" s="28">
        <f>PRICE(Table1[[#This Row],[Issue date]],Table1[[#This Row],[Maturity date]],Table1[[#This Row],[Current coupon %]],Table1[[#This Row],[Yield (Annualised)]]-$AE$2,100,Table1[[#This Row],[Coupon Frequency2]])*Table1[[#This Row],[Face value]]/100</f>
        <v>1332.471387408018</v>
      </c>
      <c r="AF768" s="28">
        <f>(Table1[[#This Row],[P (+ shock)]]+Table1[[#This Row],[P (-shock)]]-2*Table1[[#This Row],[Ask Price]])/(2*Table1[[#This Row],[Ask Price]]*($AE$2^2))</f>
        <v>35.800889007791</v>
      </c>
    </row>
    <row r="769" spans="1:32" x14ac:dyDescent="0.25">
      <c r="A769" s="21" t="s">
        <v>1580</v>
      </c>
      <c r="B769" s="3" t="s">
        <v>1581</v>
      </c>
      <c r="C769" s="3" t="s">
        <v>19</v>
      </c>
      <c r="D769" s="4">
        <v>44218</v>
      </c>
      <c r="E769" s="4">
        <v>46044</v>
      </c>
      <c r="F769" s="3">
        <v>1000</v>
      </c>
      <c r="G769" s="3" t="s">
        <v>20</v>
      </c>
      <c r="H769" s="3">
        <v>1021.2</v>
      </c>
      <c r="I769" s="3" t="s">
        <v>20</v>
      </c>
      <c r="J769" s="3">
        <v>102.12</v>
      </c>
      <c r="K769" s="3">
        <v>50</v>
      </c>
      <c r="L769" s="5">
        <v>5.7999999999999996E-2</v>
      </c>
      <c r="M769" s="3" t="s">
        <v>21</v>
      </c>
      <c r="N769" s="3">
        <v>127</v>
      </c>
      <c r="O769" s="6">
        <f>Table1[[#This Row],[Current coupon %]]*Table1[[#This Row],[Face value]]/Table1[[#This Row],[Ask Price]]</f>
        <v>5.6795926361143743E-2</v>
      </c>
      <c r="P769" s="3" t="s">
        <v>54</v>
      </c>
      <c r="Q769" s="3" t="s">
        <v>22</v>
      </c>
      <c r="R769">
        <f t="shared" si="11"/>
        <v>5</v>
      </c>
      <c r="S769" s="22" cm="1">
        <f t="array" ref="S769">_xlfn.IFS(Table1[[#This Row],[Coupon frequency]]="Semi-annual",2,Table1[[#This Row],[Coupon frequency]]="Quarterly",4,Table1[[#This Row],[Coupon frequency]]="Annual",1,Table1[[#This Row],[Coupon frequency]]="Every 4 months",3,Table1[[#This Row],[Coupon frequency]]="Monthly",12)</f>
        <v>1</v>
      </c>
      <c r="T769">
        <f>Table1[[#This Row],[Term to Maturity (Years)]]*Table1[[#This Row],[Coupon Frequency2]]</f>
        <v>5</v>
      </c>
      <c r="U769">
        <f>Table1[[#This Row],[Face value]]*Table1[[#This Row],[Current coupon %]]/Table1[[#This Row],[Coupon Frequency2]]</f>
        <v>57.999999999999993</v>
      </c>
      <c r="V769" s="23">
        <f>RATE(Table1[[#This Row],[Total No. of Coupons]],Table1[[#This Row],[Coupon Amount]],-Table1[[#This Row],[Ask Price]],Table1[[#This Row],[Face value]])</f>
        <v>5.3061816577116408E-2</v>
      </c>
      <c r="W769" s="24">
        <f>Table1[[#This Row],[IRR]]*Table1[[#This Row],[Coupon Frequency2]]</f>
        <v>5.3061816577116408E-2</v>
      </c>
      <c r="X769" s="25" cm="1">
        <f t="array" ref="X769">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2</v>
      </c>
      <c r="Y769" s="26">
        <f>DURATION(Table1[[#This Row],[Issue date]],Table1[[#This Row],[Maturity date]],Table1[[#This Row],[Current coupon %]],Table1[[#This Row],[Yield (Annualised)]],Table1[[#This Row],[Coupon Frequency2]])</f>
        <v>4.4871577363181405</v>
      </c>
      <c r="Z769" s="26">
        <f>Table1[[#This Row],[Macaulay Duration in Years]]/(1+Table1[[#This Row],[IRR]])</f>
        <v>4.2610582452825483</v>
      </c>
      <c r="AA769" s="27">
        <f>VLOOKUP(Table1[[#This Row],[Yield Cluster]],'[1]Cluster Details'!$B$3:$C$16,2,0)</f>
        <v>7.8548801574189142E-2</v>
      </c>
      <c r="AB769" s="28">
        <f>PRICE(Table1[[#This Row],[Issue date]],Table1[[#This Row],[Maturity date]],Table1[[#This Row],[Current coupon %]],Table1[[#This Row],[Average Cluster Yield]],100,Table1[[#This Row],[Coupon Frequency2]])*Table1[[#This Row],[Face value]]/100</f>
        <v>917.63982509043649</v>
      </c>
      <c r="AC769" s="27" t="str">
        <f>IF(Table1[[#This Row],[Ask Price]]&gt;Table1[[#This Row],[Calculated Bond Price]],"Rich","Cheap")</f>
        <v>Rich</v>
      </c>
      <c r="AD769" s="28">
        <f>PRICE(Table1[[#This Row],[Issue date]],Table1[[#This Row],[Maturity date]],Table1[[#This Row],[Current coupon %]],Table1[[#This Row],[Yield (Annualised)]]+$AE$2,100,Table1[[#This Row],[Coupon Frequency2]])*Table1[[#This Row],[Face value]]/100</f>
        <v>978.85422163299302</v>
      </c>
      <c r="AE769" s="28">
        <f>PRICE(Table1[[#This Row],[Issue date]],Table1[[#This Row],[Maturity date]],Table1[[#This Row],[Current coupon %]],Table1[[#This Row],[Yield (Annualised)]]-$AE$2,100,Table1[[#This Row],[Coupon Frequency2]])*Table1[[#This Row],[Face value]]/100</f>
        <v>1065.9339830828842</v>
      </c>
      <c r="AF769" s="28">
        <f>(Table1[[#This Row],[P (+ shock)]]+Table1[[#This Row],[P (-shock)]]-2*Table1[[#This Row],[Ask Price]])/(2*Table1[[#This Row],[Ask Price]]*($AE$2^2))</f>
        <v>11.693129239508599</v>
      </c>
    </row>
    <row r="770" spans="1:32" x14ac:dyDescent="0.25">
      <c r="A770" s="21" t="s">
        <v>1582</v>
      </c>
      <c r="B770" s="3" t="s">
        <v>1583</v>
      </c>
      <c r="C770" s="3" t="s">
        <v>19</v>
      </c>
      <c r="D770" s="4">
        <v>45364</v>
      </c>
      <c r="E770" s="4">
        <v>46458</v>
      </c>
      <c r="F770" s="3">
        <v>100000</v>
      </c>
      <c r="G770" s="3" t="s">
        <v>20</v>
      </c>
      <c r="H770" s="3">
        <v>100173</v>
      </c>
      <c r="I770" s="3" t="s">
        <v>20</v>
      </c>
      <c r="J770" s="3">
        <v>100.173</v>
      </c>
      <c r="K770" s="3">
        <v>1</v>
      </c>
      <c r="L770" s="5">
        <v>0.05</v>
      </c>
      <c r="M770" s="3" t="s">
        <v>53</v>
      </c>
      <c r="N770" s="3">
        <v>541</v>
      </c>
      <c r="O770" s="6">
        <f>Table1[[#This Row],[Current coupon %]]*Table1[[#This Row],[Face value]]/Table1[[#This Row],[Ask Price]]</f>
        <v>4.9913649386561246E-2</v>
      </c>
      <c r="P770" s="3"/>
      <c r="Q770" s="3" t="s">
        <v>22</v>
      </c>
      <c r="R770">
        <f t="shared" si="11"/>
        <v>3</v>
      </c>
      <c r="S770" s="22" cm="1">
        <f t="array" ref="S770">_xlfn.IFS(Table1[[#This Row],[Coupon frequency]]="Semi-annual",2,Table1[[#This Row],[Coupon frequency]]="Quarterly",4,Table1[[#This Row],[Coupon frequency]]="Annual",1,Table1[[#This Row],[Coupon frequency]]="Every 4 months",3,Table1[[#This Row],[Coupon frequency]]="Monthly",12)</f>
        <v>2</v>
      </c>
      <c r="T770">
        <f>Table1[[#This Row],[Term to Maturity (Years)]]*Table1[[#This Row],[Coupon Frequency2]]</f>
        <v>6</v>
      </c>
      <c r="U770">
        <f>Table1[[#This Row],[Face value]]*Table1[[#This Row],[Current coupon %]]/Table1[[#This Row],[Coupon Frequency2]]</f>
        <v>2500</v>
      </c>
      <c r="V770" s="23">
        <f>RATE(Table1[[#This Row],[Total No. of Coupons]],Table1[[#This Row],[Coupon Amount]],-Table1[[#This Row],[Ask Price]],Table1[[#This Row],[Face value]])</f>
        <v>2.468624803960608E-2</v>
      </c>
      <c r="W770" s="24">
        <f>Table1[[#This Row],[IRR]]*Table1[[#This Row],[Coupon Frequency2]]</f>
        <v>4.9372496079212159E-2</v>
      </c>
      <c r="X770" s="25" cm="1">
        <f t="array" ref="X770">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770" s="26">
        <f>DURATION(Table1[[#This Row],[Issue date]],Table1[[#This Row],[Maturity date]],Table1[[#This Row],[Current coupon %]],Table1[[#This Row],[Yield (Annualised)]],Table1[[#This Row],[Coupon Frequency2]])</f>
        <v>2.8203180215149661</v>
      </c>
      <c r="Z770" s="26">
        <f>Table1[[#This Row],[Macaulay Duration in Years]]/(1+Table1[[#This Row],[IRR]])</f>
        <v>2.7523722767927254</v>
      </c>
      <c r="AA770" s="27">
        <f>VLOOKUP(Table1[[#This Row],[Yield Cluster]],'[1]Cluster Details'!$B$3:$C$16,2,0)</f>
        <v>3.4641747232266588E-2</v>
      </c>
      <c r="AB770" s="28">
        <f>PRICE(Table1[[#This Row],[Issue date]],Table1[[#This Row],[Maturity date]],Table1[[#This Row],[Current coupon %]],Table1[[#This Row],[Average Cluster Yield]],100,Table1[[#This Row],[Coupon Frequency2]])*Table1[[#This Row],[Face value]]/100</f>
        <v>104336.6381301268</v>
      </c>
      <c r="AC770" s="27" t="str">
        <f>IF(Table1[[#This Row],[Ask Price]]&gt;Table1[[#This Row],[Calculated Bond Price]],"Rich","Cheap")</f>
        <v>Cheap</v>
      </c>
      <c r="AD770" s="28">
        <f>PRICE(Table1[[#This Row],[Issue date]],Table1[[#This Row],[Maturity date]],Table1[[#This Row],[Current coupon %]],Table1[[#This Row],[Yield (Annualised)]]+$AE$2,100,Table1[[#This Row],[Coupon Frequency2]])*Table1[[#This Row],[Face value]]/100</f>
        <v>97460.679365509859</v>
      </c>
      <c r="AE770" s="28">
        <f>PRICE(Table1[[#This Row],[Issue date]],Table1[[#This Row],[Maturity date]],Table1[[#This Row],[Current coupon %]],Table1[[#This Row],[Yield (Annualised)]]-$AE$2,100,Table1[[#This Row],[Coupon Frequency2]])*Table1[[#This Row],[Face value]]/100</f>
        <v>102976.88056138814</v>
      </c>
      <c r="AF770" s="28">
        <f>(Table1[[#This Row],[P (+ shock)]]+Table1[[#This Row],[P (-shock)]]-2*Table1[[#This Row],[Ask Price]])/(2*Table1[[#This Row],[Ask Price]]*($AE$2^2))</f>
        <v>4.5700900890452445</v>
      </c>
    </row>
    <row r="771" spans="1:32" x14ac:dyDescent="0.25">
      <c r="A771" s="21" t="s">
        <v>1584</v>
      </c>
      <c r="B771" s="3" t="s">
        <v>1585</v>
      </c>
      <c r="C771" s="3" t="s">
        <v>19</v>
      </c>
      <c r="D771" s="4">
        <v>42359</v>
      </c>
      <c r="E771" s="4">
        <v>49664</v>
      </c>
      <c r="F771" s="3">
        <v>1000</v>
      </c>
      <c r="G771" s="3" t="s">
        <v>20</v>
      </c>
      <c r="H771" s="3">
        <v>1475</v>
      </c>
      <c r="I771" s="3" t="s">
        <v>20</v>
      </c>
      <c r="J771" s="3">
        <v>147.5</v>
      </c>
      <c r="K771" s="3">
        <v>5</v>
      </c>
      <c r="L771" s="5">
        <v>7.2499999999999995E-2</v>
      </c>
      <c r="M771" s="3" t="s">
        <v>21</v>
      </c>
      <c r="N771" s="3">
        <v>3747</v>
      </c>
      <c r="O771" s="6">
        <f>Table1[[#This Row],[Current coupon %]]*Table1[[#This Row],[Face value]]/Table1[[#This Row],[Ask Price]]</f>
        <v>4.9152542372881358E-2</v>
      </c>
      <c r="P771" s="3" t="s">
        <v>297</v>
      </c>
      <c r="Q771" s="3" t="s">
        <v>22</v>
      </c>
      <c r="R771">
        <f t="shared" si="11"/>
        <v>20</v>
      </c>
      <c r="S771" s="22" cm="1">
        <f t="array" ref="S771">_xlfn.IFS(Table1[[#This Row],[Coupon frequency]]="Semi-annual",2,Table1[[#This Row],[Coupon frequency]]="Quarterly",4,Table1[[#This Row],[Coupon frequency]]="Annual",1,Table1[[#This Row],[Coupon frequency]]="Every 4 months",3,Table1[[#This Row],[Coupon frequency]]="Monthly",12)</f>
        <v>1</v>
      </c>
      <c r="T771">
        <f>Table1[[#This Row],[Term to Maturity (Years)]]*Table1[[#This Row],[Coupon Frequency2]]</f>
        <v>20</v>
      </c>
      <c r="U771">
        <f>Table1[[#This Row],[Face value]]*Table1[[#This Row],[Current coupon %]]/Table1[[#This Row],[Coupon Frequency2]]</f>
        <v>72.5</v>
      </c>
      <c r="V771" s="23">
        <f>RATE(Table1[[#This Row],[Total No. of Coupons]],Table1[[#This Row],[Coupon Amount]],-Table1[[#This Row],[Ask Price]],Table1[[#This Row],[Face value]])</f>
        <v>3.8126144746977286E-2</v>
      </c>
      <c r="W771" s="24">
        <f>Table1[[#This Row],[IRR]]*Table1[[#This Row],[Coupon Frequency2]]</f>
        <v>3.8126144746977286E-2</v>
      </c>
      <c r="X771" s="25" cm="1">
        <f t="array" ref="X771">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771" s="26">
        <f>DURATION(Table1[[#This Row],[Issue date]],Table1[[#This Row],[Maturity date]],Table1[[#This Row],[Current coupon %]],Table1[[#This Row],[Yield (Annualised)]],Table1[[#This Row],[Coupon Frequency2]])</f>
        <v>12.710163332266941</v>
      </c>
      <c r="Z771" s="26">
        <f>Table1[[#This Row],[Macaulay Duration in Years]]/(1+Table1[[#This Row],[IRR]])</f>
        <v>12.243370804773242</v>
      </c>
      <c r="AA771" s="27">
        <f>VLOOKUP(Table1[[#This Row],[Yield Cluster]],'[1]Cluster Details'!$B$3:$C$16,2,0)</f>
        <v>3.4641747232266588E-2</v>
      </c>
      <c r="AB771" s="28">
        <f>PRICE(Table1[[#This Row],[Issue date]],Table1[[#This Row],[Maturity date]],Table1[[#This Row],[Current coupon %]],Table1[[#This Row],[Average Cluster Yield]],100,Table1[[#This Row],[Coupon Frequency2]])*Table1[[#This Row],[Face value]]/100</f>
        <v>1539.8051137145417</v>
      </c>
      <c r="AC771" s="27" t="str">
        <f>IF(Table1[[#This Row],[Ask Price]]&gt;Table1[[#This Row],[Calculated Bond Price]],"Rich","Cheap")</f>
        <v>Cheap</v>
      </c>
      <c r="AD771" s="28">
        <f>PRICE(Table1[[#This Row],[Issue date]],Table1[[#This Row],[Maturity date]],Table1[[#This Row],[Current coupon %]],Table1[[#This Row],[Yield (Annualised)]]+$AE$2,100,Table1[[#This Row],[Coupon Frequency2]])*Table1[[#This Row],[Face value]]/100</f>
        <v>1308.6368199345861</v>
      </c>
      <c r="AE771" s="28">
        <f>PRICE(Table1[[#This Row],[Issue date]],Table1[[#This Row],[Maturity date]],Table1[[#This Row],[Current coupon %]],Table1[[#This Row],[Yield (Annualised)]]-$AE$2,100,Table1[[#This Row],[Coupon Frequency2]])*Table1[[#This Row],[Face value]]/100</f>
        <v>1671.754856290099</v>
      </c>
      <c r="AF771" s="28">
        <f>(Table1[[#This Row],[P (+ shock)]]+Table1[[#This Row],[P (-shock)]]-2*Table1[[#This Row],[Ask Price]])/(2*Table1[[#This Row],[Ask Price]]*($AE$2^2))</f>
        <v>103.02263127011997</v>
      </c>
    </row>
    <row r="772" spans="1:32" x14ac:dyDescent="0.25">
      <c r="A772" s="29" t="s">
        <v>1586</v>
      </c>
      <c r="B772" s="30" t="s">
        <v>1587</v>
      </c>
      <c r="C772" s="30" t="s">
        <v>19</v>
      </c>
      <c r="D772" s="31">
        <v>42282</v>
      </c>
      <c r="E772" s="31">
        <v>49587</v>
      </c>
      <c r="F772" s="30">
        <v>1000</v>
      </c>
      <c r="G772" s="30" t="s">
        <v>20</v>
      </c>
      <c r="H772" s="30">
        <v>2088.8000000000002</v>
      </c>
      <c r="I772" s="30" t="s">
        <v>20</v>
      </c>
      <c r="J772" s="30">
        <v>208.88</v>
      </c>
      <c r="K772" s="30">
        <v>20</v>
      </c>
      <c r="L772" s="32">
        <v>7.3700000000000002E-2</v>
      </c>
      <c r="M772" s="30" t="s">
        <v>21</v>
      </c>
      <c r="N772" s="30">
        <v>3670</v>
      </c>
      <c r="O772" s="6">
        <f>Table1[[#This Row],[Current coupon %]]*Table1[[#This Row],[Face value]]/Table1[[#This Row],[Ask Price]]</f>
        <v>3.5283416315587894E-2</v>
      </c>
      <c r="P772" s="30" t="s">
        <v>297</v>
      </c>
      <c r="Q772" s="30" t="s">
        <v>22</v>
      </c>
      <c r="R772">
        <f t="shared" si="11"/>
        <v>20</v>
      </c>
      <c r="S772" s="22" cm="1">
        <f t="array" ref="S772">_xlfn.IFS(Table1[[#This Row],[Coupon frequency]]="Semi-annual",2,Table1[[#This Row],[Coupon frequency]]="Quarterly",4,Table1[[#This Row],[Coupon frequency]]="Annual",1,Table1[[#This Row],[Coupon frequency]]="Every 4 months",3,Table1[[#This Row],[Coupon frequency]]="Monthly",12)</f>
        <v>1</v>
      </c>
      <c r="T772">
        <f>Table1[[#This Row],[Term to Maturity (Years)]]*Table1[[#This Row],[Coupon Frequency2]]</f>
        <v>20</v>
      </c>
      <c r="U772">
        <f>Table1[[#This Row],[Face value]]*Table1[[#This Row],[Current coupon %]]/Table1[[#This Row],[Coupon Frequency2]]</f>
        <v>73.7</v>
      </c>
      <c r="V772" s="23">
        <f>RATE(Table1[[#This Row],[Total No. of Coupons]],Table1[[#This Row],[Coupon Amount]],-Table1[[#This Row],[Ask Price]],Table1[[#This Row],[Face value]])</f>
        <v>1.2087752856210084E-2</v>
      </c>
      <c r="W772" s="24">
        <f>Table1[[#This Row],[IRR]]*Table1[[#This Row],[Coupon Frequency2]]</f>
        <v>1.2087752856210084E-2</v>
      </c>
      <c r="X772" s="25" cm="1">
        <f t="array" ref="X772">_xlfn.IFS(Table1[[#This Row],[Yield (Annualised)]]&lt;0.05,1,Table1[[#This Row],[Yield (Annualised)]]&lt;0.1,2,Table1[[#This Row],[Yield (Annualised)]]&lt;0.15,3,Table1[[#This Row],[Yield (Annualised)]]&lt;0.2,4,Table1[[#This Row],[Yield (Annualised)]]&lt;0.25,5,Table1[[#This Row],[Yield (Annualised)]]&lt;0.3,6,Table1[[#This Row],[Yield (Annualised)]]&lt;0.35,7,Table1[[#This Row],[Yield (Annualised)]]&lt;0.4,8,Table1[[#This Row],[Yield (Annualised)]]&lt;0.45,9,Table1[[#This Row],[Yield (Annualised)]]&lt;0.5,10,Table1[[#This Row],[Yield (Annualised)]]&lt;0.55,11,Table1[[#This Row],[Yield (Annualised)]]&lt;0.6,12,Table1[[#This Row],[Yield (Annualised)]]&lt;0.65,13,Table1[[#This Row],[Yield (Annualised)]]&lt;0.7,14,Table1[[#This Row],[Yield (Annualised)]]&gt;0.7,15)</f>
        <v>1</v>
      </c>
      <c r="Y772" s="26">
        <f>DURATION(Table1[[#This Row],[Issue date]],Table1[[#This Row],[Maturity date]],Table1[[#This Row],[Current coupon %]],Table1[[#This Row],[Yield (Annualised)]],Table1[[#This Row],[Coupon Frequency2]])</f>
        <v>13.827680230301276</v>
      </c>
      <c r="Z772" s="26">
        <f>Table1[[#This Row],[Macaulay Duration in Years]]/(1+Table1[[#This Row],[IRR]])</f>
        <v>13.662530932992933</v>
      </c>
      <c r="AA772" s="27">
        <f>VLOOKUP(Table1[[#This Row],[Yield Cluster]],'[1]Cluster Details'!$B$3:$C$16,2,0)</f>
        <v>3.4641747232266588E-2</v>
      </c>
      <c r="AB772" s="28">
        <f>PRICE(Table1[[#This Row],[Issue date]],Table1[[#This Row],[Maturity date]],Table1[[#This Row],[Current coupon %]],Table1[[#This Row],[Average Cluster Yield]],100,Table1[[#This Row],[Coupon Frequency2]])*Table1[[#This Row],[Face value]]/100</f>
        <v>1556.9154156725212</v>
      </c>
      <c r="AC772" s="27" t="str">
        <f>IF(Table1[[#This Row],[Ask Price]]&gt;Table1[[#This Row],[Calculated Bond Price]],"Rich","Cheap")</f>
        <v>Rich</v>
      </c>
      <c r="AD772" s="28">
        <f>PRICE(Table1[[#This Row],[Issue date]],Table1[[#This Row],[Maturity date]],Table1[[#This Row],[Current coupon %]],Table1[[#This Row],[Yield (Annualised)]]+$AE$2,100,Table1[[#This Row],[Coupon Frequency2]])*Table1[[#This Row],[Face value]]/100</f>
        <v>1827.1753277213613</v>
      </c>
      <c r="AE772" s="28">
        <f>PRICE(Table1[[#This Row],[Issue date]],Table1[[#This Row],[Maturity date]],Table1[[#This Row],[Current coupon %]],Table1[[#This Row],[Yield (Annualised)]]-$AE$2,100,Table1[[#This Row],[Coupon Frequency2]])*Table1[[#This Row],[Face value]]/100</f>
        <v>2401.3230994969267</v>
      </c>
      <c r="AF772" s="28">
        <f>(Table1[[#This Row],[P (+ shock)]]+Table1[[#This Row],[P (-shock)]]-2*Table1[[#This Row],[Ask Price]])/(2*Table1[[#This Row],[Ask Price]]*($AE$2^2))</f>
        <v>121.83652627893503</v>
      </c>
    </row>
    <row r="773" spans="1:32" x14ac:dyDescent="0.25">
      <c r="I773" s="33"/>
      <c r="K773" s="34"/>
      <c r="M773" s="33"/>
      <c r="N773" s="35"/>
      <c r="O773" s="35"/>
      <c r="Q773" s="34"/>
      <c r="R773" s="22"/>
      <c r="X773" s="36"/>
      <c r="Y773" s="37"/>
      <c r="Z773" s="26">
        <f t="shared" ref="Z773:Z809" si="12">Y773/(1+C773)</f>
        <v>0</v>
      </c>
      <c r="AA773" s="26">
        <f t="shared" ref="AA773:AA809" si="13">-Z773*F773</f>
        <v>0</v>
      </c>
    </row>
    <row r="774" spans="1:32" x14ac:dyDescent="0.25">
      <c r="I774" s="33"/>
      <c r="K774" s="34"/>
      <c r="M774" s="33"/>
      <c r="N774" s="35"/>
      <c r="O774" s="35"/>
      <c r="Q774" s="34"/>
      <c r="R774" s="22"/>
      <c r="X774" s="36"/>
      <c r="Y774" s="37"/>
      <c r="Z774" s="26">
        <f t="shared" si="12"/>
        <v>0</v>
      </c>
      <c r="AA774" s="26">
        <f t="shared" si="13"/>
        <v>0</v>
      </c>
    </row>
    <row r="775" spans="1:32" x14ac:dyDescent="0.25">
      <c r="I775" s="33"/>
      <c r="K775" s="34"/>
      <c r="M775" s="33"/>
      <c r="N775" s="35"/>
      <c r="O775" s="35"/>
      <c r="Q775" s="34"/>
      <c r="R775" s="22"/>
      <c r="X775" s="36"/>
      <c r="Y775" s="37"/>
      <c r="Z775" s="26">
        <f t="shared" si="12"/>
        <v>0</v>
      </c>
      <c r="AA775" s="26">
        <f t="shared" si="13"/>
        <v>0</v>
      </c>
    </row>
    <row r="776" spans="1:32" x14ac:dyDescent="0.25">
      <c r="I776" s="33"/>
      <c r="K776" s="34"/>
      <c r="M776" s="33"/>
      <c r="N776" s="35"/>
      <c r="O776" s="35"/>
      <c r="Q776" s="34"/>
      <c r="R776" s="22"/>
      <c r="X776" s="36"/>
      <c r="Y776" s="37"/>
      <c r="Z776" s="26">
        <f t="shared" si="12"/>
        <v>0</v>
      </c>
      <c r="AA776" s="26">
        <f t="shared" si="13"/>
        <v>0</v>
      </c>
    </row>
    <row r="777" spans="1:32" x14ac:dyDescent="0.25">
      <c r="I777" s="33"/>
      <c r="K777" s="34"/>
      <c r="M777" s="33"/>
      <c r="N777" s="35"/>
      <c r="O777" s="35"/>
      <c r="Q777" s="34"/>
      <c r="R777" s="22"/>
      <c r="X777" s="36"/>
      <c r="Y777" s="37"/>
      <c r="Z777" s="26">
        <f t="shared" si="12"/>
        <v>0</v>
      </c>
      <c r="AA777" s="26">
        <f t="shared" si="13"/>
        <v>0</v>
      </c>
    </row>
    <row r="778" spans="1:32" x14ac:dyDescent="0.25">
      <c r="I778" s="33"/>
      <c r="K778" s="34"/>
      <c r="M778" s="33"/>
      <c r="N778" s="35"/>
      <c r="O778" s="35"/>
      <c r="Q778" s="34"/>
      <c r="R778" s="22"/>
      <c r="X778" s="36"/>
      <c r="Y778" s="37"/>
      <c r="Z778" s="26">
        <f t="shared" si="12"/>
        <v>0</v>
      </c>
      <c r="AA778" s="26">
        <f t="shared" si="13"/>
        <v>0</v>
      </c>
    </row>
    <row r="779" spans="1:32" x14ac:dyDescent="0.25">
      <c r="I779" s="33"/>
      <c r="K779" s="34"/>
      <c r="M779" s="33"/>
      <c r="N779" s="35"/>
      <c r="O779" s="35"/>
      <c r="Q779" s="34"/>
      <c r="R779" s="22"/>
      <c r="X779" s="36"/>
      <c r="Y779" s="37"/>
      <c r="Z779" s="26">
        <f t="shared" si="12"/>
        <v>0</v>
      </c>
      <c r="AA779" s="26">
        <f t="shared" si="13"/>
        <v>0</v>
      </c>
    </row>
    <row r="780" spans="1:32" x14ac:dyDescent="0.25">
      <c r="I780" s="33"/>
      <c r="K780" s="34"/>
      <c r="M780" s="33"/>
      <c r="N780" s="35"/>
      <c r="O780" s="35"/>
      <c r="Q780" s="34"/>
      <c r="R780" s="22"/>
      <c r="X780" s="36"/>
      <c r="Y780" s="37"/>
      <c r="Z780" s="26">
        <f t="shared" si="12"/>
        <v>0</v>
      </c>
      <c r="AA780" s="26">
        <f t="shared" si="13"/>
        <v>0</v>
      </c>
    </row>
    <row r="781" spans="1:32" x14ac:dyDescent="0.25">
      <c r="I781" s="33"/>
      <c r="K781" s="34"/>
      <c r="M781" s="33"/>
      <c r="N781" s="35"/>
      <c r="O781" s="35"/>
      <c r="Q781" s="34"/>
      <c r="R781" s="22"/>
      <c r="X781" s="36"/>
      <c r="Y781" s="37"/>
      <c r="Z781" s="26">
        <f t="shared" si="12"/>
        <v>0</v>
      </c>
      <c r="AA781" s="26">
        <f t="shared" si="13"/>
        <v>0</v>
      </c>
    </row>
    <row r="782" spans="1:32" x14ac:dyDescent="0.25">
      <c r="I782" s="33"/>
      <c r="K782" s="34"/>
      <c r="M782" s="33"/>
      <c r="N782" s="35"/>
      <c r="O782" s="35"/>
      <c r="Q782" s="34"/>
      <c r="R782" s="22"/>
      <c r="X782" s="36"/>
      <c r="Y782" s="37"/>
      <c r="Z782" s="26">
        <f t="shared" si="12"/>
        <v>0</v>
      </c>
      <c r="AA782" s="26">
        <f t="shared" si="13"/>
        <v>0</v>
      </c>
    </row>
    <row r="783" spans="1:32" x14ac:dyDescent="0.25">
      <c r="I783" s="33"/>
      <c r="K783" s="34"/>
      <c r="M783" s="33"/>
      <c r="N783" s="35"/>
      <c r="O783" s="35"/>
      <c r="Q783" s="34"/>
      <c r="R783" s="22"/>
      <c r="X783" s="36"/>
      <c r="Y783" s="37"/>
      <c r="Z783" s="26">
        <f t="shared" si="12"/>
        <v>0</v>
      </c>
      <c r="AA783" s="26">
        <f t="shared" si="13"/>
        <v>0</v>
      </c>
    </row>
    <row r="784" spans="1:32" x14ac:dyDescent="0.25">
      <c r="I784" s="33"/>
      <c r="K784" s="34"/>
      <c r="M784" s="33"/>
      <c r="N784" s="35"/>
      <c r="O784" s="35"/>
      <c r="Q784" s="34"/>
      <c r="R784" s="22"/>
      <c r="X784" s="36"/>
      <c r="Y784" s="37"/>
      <c r="Z784" s="26">
        <f t="shared" si="12"/>
        <v>0</v>
      </c>
      <c r="AA784" s="26">
        <f t="shared" si="13"/>
        <v>0</v>
      </c>
    </row>
    <row r="785" spans="9:27" x14ac:dyDescent="0.25">
      <c r="I785" s="33"/>
      <c r="K785" s="34"/>
      <c r="M785" s="33"/>
      <c r="N785" s="35"/>
      <c r="O785" s="35"/>
      <c r="Q785" s="34"/>
      <c r="R785" s="22"/>
      <c r="X785" s="36"/>
      <c r="Y785" s="37"/>
      <c r="Z785" s="26">
        <f t="shared" si="12"/>
        <v>0</v>
      </c>
      <c r="AA785" s="26">
        <f t="shared" si="13"/>
        <v>0</v>
      </c>
    </row>
    <row r="786" spans="9:27" x14ac:dyDescent="0.25">
      <c r="I786" s="33"/>
      <c r="K786" s="34"/>
      <c r="M786" s="33"/>
      <c r="N786" s="35"/>
      <c r="O786" s="35"/>
      <c r="Q786" s="34"/>
      <c r="R786" s="22"/>
      <c r="X786" s="36"/>
      <c r="Y786" s="37"/>
      <c r="Z786" s="26">
        <f t="shared" si="12"/>
        <v>0</v>
      </c>
      <c r="AA786" s="26">
        <f t="shared" si="13"/>
        <v>0</v>
      </c>
    </row>
    <row r="787" spans="9:27" x14ac:dyDescent="0.25">
      <c r="I787" s="33"/>
      <c r="K787" s="34"/>
      <c r="M787" s="33"/>
      <c r="N787" s="35"/>
      <c r="O787" s="35"/>
      <c r="Q787" s="34"/>
      <c r="R787" s="22"/>
      <c r="X787" s="36"/>
      <c r="Y787" s="37"/>
      <c r="Z787" s="26">
        <f t="shared" si="12"/>
        <v>0</v>
      </c>
      <c r="AA787" s="26">
        <f t="shared" si="13"/>
        <v>0</v>
      </c>
    </row>
    <row r="788" spans="9:27" x14ac:dyDescent="0.25">
      <c r="I788" s="33"/>
      <c r="K788" s="34"/>
      <c r="M788" s="33"/>
      <c r="N788" s="35"/>
      <c r="O788" s="35"/>
      <c r="Q788" s="34"/>
      <c r="R788" s="22"/>
      <c r="X788" s="36"/>
      <c r="Y788" s="37"/>
      <c r="Z788" s="26">
        <f t="shared" si="12"/>
        <v>0</v>
      </c>
      <c r="AA788" s="26">
        <f t="shared" si="13"/>
        <v>0</v>
      </c>
    </row>
    <row r="789" spans="9:27" x14ac:dyDescent="0.25">
      <c r="I789" s="33"/>
      <c r="K789" s="34"/>
      <c r="M789" s="33"/>
      <c r="N789" s="35"/>
      <c r="O789" s="35"/>
      <c r="Q789" s="34"/>
      <c r="R789" s="22"/>
      <c r="X789" s="36"/>
      <c r="Y789" s="37"/>
      <c r="Z789" s="26">
        <f t="shared" si="12"/>
        <v>0</v>
      </c>
      <c r="AA789" s="26">
        <f t="shared" si="13"/>
        <v>0</v>
      </c>
    </row>
    <row r="790" spans="9:27" x14ac:dyDescent="0.25">
      <c r="I790" s="33"/>
      <c r="K790" s="34"/>
      <c r="M790" s="33"/>
      <c r="N790" s="35"/>
      <c r="O790" s="35"/>
      <c r="Q790" s="34"/>
      <c r="R790" s="22"/>
      <c r="X790" s="36"/>
      <c r="Y790" s="37"/>
      <c r="Z790" s="26">
        <f t="shared" si="12"/>
        <v>0</v>
      </c>
      <c r="AA790" s="26">
        <f t="shared" si="13"/>
        <v>0</v>
      </c>
    </row>
    <row r="791" spans="9:27" x14ac:dyDescent="0.25">
      <c r="I791" s="33"/>
      <c r="K791" s="34"/>
      <c r="M791" s="33"/>
      <c r="N791" s="35"/>
      <c r="O791" s="35"/>
      <c r="Q791" s="34"/>
      <c r="R791" s="22"/>
      <c r="X791" s="36"/>
      <c r="Y791" s="37"/>
      <c r="Z791" s="26">
        <f t="shared" si="12"/>
        <v>0</v>
      </c>
      <c r="AA791" s="26">
        <f t="shared" si="13"/>
        <v>0</v>
      </c>
    </row>
    <row r="792" spans="9:27" x14ac:dyDescent="0.25">
      <c r="I792" s="33"/>
      <c r="K792" s="34"/>
      <c r="M792" s="33"/>
      <c r="N792" s="35"/>
      <c r="O792" s="35"/>
      <c r="Q792" s="34"/>
      <c r="R792" s="22"/>
      <c r="X792" s="36"/>
      <c r="Y792" s="37"/>
      <c r="Z792" s="26">
        <f t="shared" si="12"/>
        <v>0</v>
      </c>
      <c r="AA792" s="26">
        <f t="shared" si="13"/>
        <v>0</v>
      </c>
    </row>
    <row r="793" spans="9:27" x14ac:dyDescent="0.25">
      <c r="I793" s="33"/>
      <c r="K793" s="34"/>
      <c r="M793" s="33"/>
      <c r="N793" s="35"/>
      <c r="O793" s="35"/>
      <c r="Q793" s="34"/>
      <c r="R793" s="22"/>
      <c r="X793" s="36"/>
      <c r="Y793" s="37"/>
      <c r="Z793" s="26">
        <f t="shared" si="12"/>
        <v>0</v>
      </c>
      <c r="AA793" s="26">
        <f t="shared" si="13"/>
        <v>0</v>
      </c>
    </row>
    <row r="794" spans="9:27" x14ac:dyDescent="0.25">
      <c r="I794" s="33"/>
      <c r="K794" s="34"/>
      <c r="M794" s="33"/>
      <c r="N794" s="35"/>
      <c r="O794" s="35"/>
      <c r="Q794" s="34"/>
      <c r="R794" s="22"/>
      <c r="X794" s="36"/>
      <c r="Y794" s="37"/>
      <c r="Z794" s="26">
        <f t="shared" si="12"/>
        <v>0</v>
      </c>
      <c r="AA794" s="26">
        <f t="shared" si="13"/>
        <v>0</v>
      </c>
    </row>
    <row r="795" spans="9:27" x14ac:dyDescent="0.25">
      <c r="I795" s="33"/>
      <c r="K795" s="34"/>
      <c r="M795" s="33"/>
      <c r="N795" s="35"/>
      <c r="O795" s="35"/>
      <c r="Q795" s="34"/>
      <c r="R795" s="22"/>
      <c r="X795" s="36"/>
      <c r="Y795" s="37"/>
      <c r="Z795" s="26">
        <f t="shared" si="12"/>
        <v>0</v>
      </c>
      <c r="AA795" s="26">
        <f t="shared" si="13"/>
        <v>0</v>
      </c>
    </row>
    <row r="796" spans="9:27" x14ac:dyDescent="0.25">
      <c r="I796" s="33"/>
      <c r="K796" s="34"/>
      <c r="M796" s="33"/>
      <c r="N796" s="35"/>
      <c r="O796" s="35"/>
      <c r="Q796" s="34"/>
      <c r="R796" s="22"/>
      <c r="X796" s="36"/>
      <c r="Y796" s="37"/>
      <c r="Z796" s="26">
        <f t="shared" si="12"/>
        <v>0</v>
      </c>
      <c r="AA796" s="26">
        <f t="shared" si="13"/>
        <v>0</v>
      </c>
    </row>
    <row r="797" spans="9:27" x14ac:dyDescent="0.25">
      <c r="I797" s="33"/>
      <c r="K797" s="34"/>
      <c r="M797" s="33"/>
      <c r="N797" s="35"/>
      <c r="O797" s="35"/>
      <c r="Q797" s="34"/>
      <c r="R797" s="22"/>
      <c r="X797" s="36"/>
      <c r="Y797" s="37"/>
      <c r="Z797" s="26">
        <f t="shared" si="12"/>
        <v>0</v>
      </c>
      <c r="AA797" s="26">
        <f t="shared" si="13"/>
        <v>0</v>
      </c>
    </row>
    <row r="798" spans="9:27" x14ac:dyDescent="0.25">
      <c r="I798" s="33"/>
      <c r="K798" s="34"/>
      <c r="M798" s="33"/>
      <c r="N798" s="35"/>
      <c r="O798" s="35"/>
      <c r="Q798" s="34"/>
      <c r="R798" s="22"/>
      <c r="X798" s="36"/>
      <c r="Y798" s="37"/>
      <c r="Z798" s="26">
        <f t="shared" si="12"/>
        <v>0</v>
      </c>
      <c r="AA798" s="26">
        <f t="shared" si="13"/>
        <v>0</v>
      </c>
    </row>
    <row r="799" spans="9:27" x14ac:dyDescent="0.25">
      <c r="I799" s="33"/>
      <c r="K799" s="34"/>
      <c r="M799" s="33"/>
      <c r="N799" s="35"/>
      <c r="O799" s="35"/>
      <c r="Q799" s="34"/>
      <c r="R799" s="22"/>
      <c r="X799" s="36"/>
      <c r="Y799" s="37"/>
      <c r="Z799" s="26">
        <f t="shared" si="12"/>
        <v>0</v>
      </c>
      <c r="AA799" s="26">
        <f t="shared" si="13"/>
        <v>0</v>
      </c>
    </row>
    <row r="800" spans="9:27" x14ac:dyDescent="0.25">
      <c r="I800" s="33"/>
      <c r="K800" s="34"/>
      <c r="M800" s="33"/>
      <c r="N800" s="35"/>
      <c r="O800" s="35"/>
      <c r="Q800" s="34"/>
      <c r="R800" s="22"/>
      <c r="X800" s="36"/>
      <c r="Y800" s="37"/>
      <c r="Z800" s="26">
        <f t="shared" si="12"/>
        <v>0</v>
      </c>
      <c r="AA800" s="26">
        <f t="shared" si="13"/>
        <v>0</v>
      </c>
    </row>
    <row r="801" spans="9:27" x14ac:dyDescent="0.25">
      <c r="I801" s="33"/>
      <c r="K801" s="34"/>
      <c r="M801" s="33"/>
      <c r="N801" s="35"/>
      <c r="O801" s="35"/>
      <c r="Q801" s="34"/>
      <c r="R801" s="22"/>
      <c r="X801" s="36"/>
      <c r="Y801" s="37"/>
      <c r="Z801" s="26">
        <f t="shared" si="12"/>
        <v>0</v>
      </c>
      <c r="AA801" s="26">
        <f t="shared" si="13"/>
        <v>0</v>
      </c>
    </row>
    <row r="802" spans="9:27" x14ac:dyDescent="0.25">
      <c r="I802" s="33"/>
      <c r="K802" s="34"/>
      <c r="M802" s="33"/>
      <c r="N802" s="35"/>
      <c r="O802" s="35"/>
      <c r="Q802" s="34"/>
      <c r="R802" s="22"/>
      <c r="X802" s="36"/>
      <c r="Y802" s="37"/>
      <c r="Z802" s="26">
        <f t="shared" si="12"/>
        <v>0</v>
      </c>
      <c r="AA802" s="26">
        <f t="shared" si="13"/>
        <v>0</v>
      </c>
    </row>
    <row r="803" spans="9:27" x14ac:dyDescent="0.25">
      <c r="I803" s="33"/>
      <c r="K803" s="34"/>
      <c r="M803" s="33"/>
      <c r="N803" s="35"/>
      <c r="O803" s="35"/>
      <c r="Q803" s="34"/>
      <c r="R803" s="22"/>
      <c r="X803" s="36"/>
      <c r="Y803" s="37"/>
      <c r="Z803" s="26">
        <f t="shared" si="12"/>
        <v>0</v>
      </c>
      <c r="AA803" s="26">
        <f t="shared" si="13"/>
        <v>0</v>
      </c>
    </row>
    <row r="804" spans="9:27" x14ac:dyDescent="0.25">
      <c r="I804" s="33"/>
      <c r="K804" s="34"/>
      <c r="M804" s="33"/>
      <c r="N804" s="35"/>
      <c r="O804" s="35"/>
      <c r="Q804" s="34"/>
      <c r="R804" s="22"/>
      <c r="X804" s="36"/>
      <c r="Y804" s="37"/>
      <c r="Z804" s="26">
        <f t="shared" si="12"/>
        <v>0</v>
      </c>
      <c r="AA804" s="26">
        <f t="shared" si="13"/>
        <v>0</v>
      </c>
    </row>
    <row r="805" spans="9:27" x14ac:dyDescent="0.25">
      <c r="I805" s="33"/>
      <c r="K805" s="34"/>
      <c r="M805" s="33"/>
      <c r="N805" s="35"/>
      <c r="O805" s="35"/>
      <c r="Q805" s="34"/>
      <c r="R805" s="22"/>
      <c r="X805" s="36"/>
      <c r="Y805" s="37"/>
      <c r="Z805" s="26">
        <f t="shared" si="12"/>
        <v>0</v>
      </c>
      <c r="AA805" s="26">
        <f t="shared" si="13"/>
        <v>0</v>
      </c>
    </row>
    <row r="806" spans="9:27" x14ac:dyDescent="0.25">
      <c r="I806" s="33"/>
      <c r="K806" s="34"/>
      <c r="M806" s="33"/>
      <c r="N806" s="35"/>
      <c r="O806" s="35"/>
      <c r="Q806" s="34"/>
      <c r="R806" s="22"/>
      <c r="X806" s="36"/>
      <c r="Y806" s="37"/>
      <c r="Z806" s="26">
        <f t="shared" si="12"/>
        <v>0</v>
      </c>
      <c r="AA806" s="26">
        <f t="shared" si="13"/>
        <v>0</v>
      </c>
    </row>
    <row r="807" spans="9:27" x14ac:dyDescent="0.25">
      <c r="I807" s="33"/>
      <c r="K807" s="34"/>
      <c r="M807" s="33"/>
      <c r="N807" s="35"/>
      <c r="O807" s="35"/>
      <c r="Q807" s="34"/>
      <c r="R807" s="22"/>
      <c r="X807" s="36"/>
      <c r="Y807" s="37"/>
      <c r="Z807" s="26">
        <f t="shared" si="12"/>
        <v>0</v>
      </c>
      <c r="AA807" s="26">
        <f t="shared" si="13"/>
        <v>0</v>
      </c>
    </row>
    <row r="808" spans="9:27" x14ac:dyDescent="0.25">
      <c r="I808" s="33"/>
      <c r="K808" s="34"/>
      <c r="M808" s="33"/>
      <c r="N808" s="35"/>
      <c r="O808" s="35"/>
      <c r="Q808" s="34"/>
      <c r="R808" s="22"/>
      <c r="X808" s="36"/>
      <c r="Y808" s="37"/>
      <c r="Z808" s="26">
        <f t="shared" si="12"/>
        <v>0</v>
      </c>
      <c r="AA808" s="26">
        <f t="shared" si="13"/>
        <v>0</v>
      </c>
    </row>
    <row r="809" spans="9:27" x14ac:dyDescent="0.25">
      <c r="I809" s="33"/>
      <c r="K809" s="34"/>
      <c r="M809" s="33"/>
      <c r="N809" s="35"/>
      <c r="O809" s="35"/>
      <c r="Q809" s="34"/>
      <c r="R809" s="22"/>
      <c r="X809" s="36"/>
      <c r="Y809" s="37"/>
      <c r="Z809" s="26">
        <f t="shared" si="12"/>
        <v>0</v>
      </c>
      <c r="AA809" s="26">
        <f t="shared" si="13"/>
        <v>0</v>
      </c>
    </row>
  </sheetData>
  <mergeCells count="2">
    <mergeCell ref="A1:Q1"/>
    <mergeCell ref="R1:AF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Portfolio</vt:lpstr>
      <vt:lpstr>Base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Bijesh Singha</dc:creator>
  <cp:lastModifiedBy>Bijesh Singha</cp:lastModifiedBy>
  <dcterms:created xsi:type="dcterms:W3CDTF">2025-12-17T13:51:37Z</dcterms:created>
  <dcterms:modified xsi:type="dcterms:W3CDTF">2025-12-19T17:22:01Z</dcterms:modified>
</cp:coreProperties>
</file>